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aitlin.Champaco\Downloads\FY25Q3 - FINAL\"/>
    </mc:Choice>
  </mc:AlternateContent>
  <xr:revisionPtr revIDLastSave="0" documentId="13_ncr:1_{DFC595A7-4BA9-44DE-9F0B-2773B6F2D76F}" xr6:coauthVersionLast="36" xr6:coauthVersionMax="47" xr10:uidLastSave="{00000000-0000-0000-0000-000000000000}"/>
  <bookViews>
    <workbookView xWindow="0" yWindow="0" windowWidth="28800" windowHeight="11505" tabRatio="934" xr2:uid="{00000000-000D-0000-FFFF-FFFF00000000}"/>
  </bookViews>
  <sheets>
    <sheet name="(Current) - SOA MOE" sheetId="51" r:id="rId1"/>
    <sheet name="(Current) - SOA OM" sheetId="54" r:id="rId2"/>
    <sheet name="(Current) - SAA" sheetId="55" r:id="rId3"/>
    <sheet name="(Current) - BAPS" sheetId="56" r:id="rId4"/>
    <sheet name="(Current) - OMB" sheetId="57" r:id="rId5"/>
    <sheet name="SMP" sheetId="58" r:id="rId6"/>
    <sheet name="SHIP" sheetId="59" r:id="rId7"/>
  </sheets>
  <externalReferences>
    <externalReference r:id="rId8"/>
  </externalReferences>
  <definedNames>
    <definedName name="_xlnm.Print_Area" localSheetId="3">'(Current) - BAPS'!$A$1:$T$47</definedName>
    <definedName name="_xlnm.Print_Area" localSheetId="4">'(Current) - OMB'!$A$1:$T$47</definedName>
    <definedName name="_xlnm.Print_Area" localSheetId="2">'(Current) - SAA'!$A$1:$T$47</definedName>
    <definedName name="_xlnm.Print_Area" localSheetId="0">'(Current) - SOA MOE'!$A$1:$T$47</definedName>
    <definedName name="_xlnm.Print_Area" localSheetId="1">'(Current) - SOA OM'!$A$1:$T$47</definedName>
    <definedName name="_xlnm.Print_Area" localSheetId="6">SHIP!$A$1:$T$47</definedName>
    <definedName name="_xlnm.Print_Area" localSheetId="5">SMP!$A$1:$T$47</definedName>
    <definedName name="Print_Area_MI">#REF!</definedName>
    <definedName name="Print_Titles_MI">#REF!</definedName>
    <definedName name="Run_Date">'[1]FY05 Requisitions'!#REF!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1" i="59" l="1"/>
  <c r="J81" i="59"/>
  <c r="I81" i="59"/>
  <c r="H81" i="59"/>
  <c r="G81" i="59"/>
  <c r="F81" i="59"/>
  <c r="E81" i="59"/>
  <c r="N42" i="59"/>
  <c r="J42" i="59"/>
  <c r="H42" i="59"/>
  <c r="G42" i="59"/>
  <c r="K81" i="58"/>
  <c r="J81" i="58"/>
  <c r="I81" i="58"/>
  <c r="H81" i="58"/>
  <c r="G81" i="58"/>
  <c r="F81" i="58"/>
  <c r="E81" i="58"/>
  <c r="N42" i="58"/>
  <c r="J42" i="58"/>
  <c r="H42" i="58"/>
  <c r="G42" i="58"/>
  <c r="K81" i="57"/>
  <c r="J81" i="57"/>
  <c r="I81" i="57"/>
  <c r="H81" i="57"/>
  <c r="G81" i="57"/>
  <c r="F81" i="57"/>
  <c r="E81" i="57"/>
  <c r="N42" i="57"/>
  <c r="M42" i="57"/>
  <c r="G42" i="57"/>
  <c r="K81" i="56"/>
  <c r="J81" i="56"/>
  <c r="I81" i="56"/>
  <c r="H81" i="56"/>
  <c r="G81" i="56"/>
  <c r="F81" i="56"/>
  <c r="E81" i="56"/>
  <c r="R17" i="56"/>
  <c r="N21" i="56"/>
  <c r="N20" i="56"/>
  <c r="N19" i="56"/>
  <c r="N18" i="56"/>
  <c r="N17" i="56"/>
  <c r="J20" i="56"/>
  <c r="J18" i="56"/>
  <c r="H21" i="56"/>
  <c r="H20" i="56"/>
  <c r="H19" i="56"/>
  <c r="M42" i="56"/>
  <c r="G42" i="56"/>
  <c r="K81" i="55"/>
  <c r="J81" i="55"/>
  <c r="I81" i="55"/>
  <c r="H81" i="55"/>
  <c r="G81" i="55"/>
  <c r="F81" i="55"/>
  <c r="E81" i="55"/>
  <c r="K81" i="54"/>
  <c r="J81" i="54"/>
  <c r="I81" i="54"/>
  <c r="H81" i="54"/>
  <c r="G81" i="54"/>
  <c r="F81" i="54"/>
  <c r="E81" i="54"/>
  <c r="R42" i="55"/>
  <c r="Q42" i="55"/>
  <c r="P42" i="55"/>
  <c r="N42" i="55"/>
  <c r="M42" i="55"/>
  <c r="G42" i="55"/>
  <c r="J21" i="55"/>
  <c r="J18" i="55"/>
  <c r="H21" i="55"/>
  <c r="H20" i="55"/>
  <c r="H19" i="55"/>
  <c r="R42" i="54"/>
  <c r="Q42" i="54"/>
  <c r="P42" i="54"/>
  <c r="N42" i="54"/>
  <c r="M42" i="54"/>
  <c r="J42" i="54"/>
  <c r="G42" i="54"/>
  <c r="H19" i="54"/>
  <c r="H18" i="54"/>
  <c r="M42" i="51"/>
  <c r="N42" i="51"/>
  <c r="P42" i="51"/>
  <c r="Q42" i="51"/>
  <c r="R42" i="51"/>
  <c r="G42" i="51"/>
  <c r="F42" i="51"/>
  <c r="J42" i="55" l="1"/>
  <c r="N42" i="56"/>
  <c r="H19" i="51"/>
  <c r="H18" i="51"/>
  <c r="F21" i="55" l="1"/>
  <c r="F42" i="55" s="1"/>
  <c r="K20" i="55"/>
  <c r="O20" i="55" s="1"/>
  <c r="K19" i="55"/>
  <c r="R17" i="59"/>
  <c r="R42" i="59" s="1"/>
  <c r="Q17" i="59"/>
  <c r="Q42" i="59" s="1"/>
  <c r="P17" i="59"/>
  <c r="P42" i="59" s="1"/>
  <c r="M17" i="59"/>
  <c r="M42" i="59" s="1"/>
  <c r="F17" i="59"/>
  <c r="F42" i="59" s="1"/>
  <c r="M17" i="58"/>
  <c r="M42" i="58" s="1"/>
  <c r="R17" i="58"/>
  <c r="R42" i="58" s="1"/>
  <c r="Q17" i="58"/>
  <c r="Q42" i="58" s="1"/>
  <c r="P17" i="58"/>
  <c r="P42" i="58" s="1"/>
  <c r="F17" i="58"/>
  <c r="A57" i="59"/>
  <c r="A58" i="59" s="1"/>
  <c r="A59" i="59" s="1"/>
  <c r="A60" i="59" s="1"/>
  <c r="A61" i="59" s="1"/>
  <c r="A62" i="59" s="1"/>
  <c r="A63" i="59" s="1"/>
  <c r="A64" i="59" s="1"/>
  <c r="A65" i="59" s="1"/>
  <c r="A66" i="59" s="1"/>
  <c r="A67" i="59" s="1"/>
  <c r="A68" i="59" s="1"/>
  <c r="A69" i="59" s="1"/>
  <c r="A70" i="59" s="1"/>
  <c r="A71" i="59" s="1"/>
  <c r="A72" i="59" s="1"/>
  <c r="A73" i="59" s="1"/>
  <c r="L56" i="59"/>
  <c r="L81" i="59" s="1"/>
  <c r="D56" i="59"/>
  <c r="C56" i="59"/>
  <c r="B56" i="59"/>
  <c r="A18" i="59"/>
  <c r="A19" i="59" s="1"/>
  <c r="A20" i="59" s="1"/>
  <c r="A21" i="59" s="1"/>
  <c r="A22" i="59" s="1"/>
  <c r="A23" i="59" s="1"/>
  <c r="A24" i="59" s="1"/>
  <c r="A25" i="59" s="1"/>
  <c r="A26" i="59" s="1"/>
  <c r="A27" i="59" s="1"/>
  <c r="A28" i="59" s="1"/>
  <c r="A29" i="59" s="1"/>
  <c r="A30" i="59" s="1"/>
  <c r="A31" i="59" s="1"/>
  <c r="A32" i="59" s="1"/>
  <c r="A33" i="59" s="1"/>
  <c r="A34" i="59" s="1"/>
  <c r="R17" i="57"/>
  <c r="R42" i="57" s="1"/>
  <c r="Q17" i="57"/>
  <c r="Q42" i="57" s="1"/>
  <c r="R19" i="56"/>
  <c r="R42" i="56" s="1"/>
  <c r="Q19" i="56"/>
  <c r="Q42" i="56" s="1"/>
  <c r="P17" i="57"/>
  <c r="P42" i="57" s="1"/>
  <c r="P19" i="56"/>
  <c r="P42" i="56" s="1"/>
  <c r="F19" i="56"/>
  <c r="J17" i="57"/>
  <c r="J42" i="57" s="1"/>
  <c r="F17" i="57"/>
  <c r="F42" i="57" s="1"/>
  <c r="A57" i="58"/>
  <c r="A58" i="58" s="1"/>
  <c r="A59" i="58" s="1"/>
  <c r="A60" i="58" s="1"/>
  <c r="A61" i="58" s="1"/>
  <c r="A62" i="58" s="1"/>
  <c r="A63" i="58" s="1"/>
  <c r="A64" i="58" s="1"/>
  <c r="A65" i="58" s="1"/>
  <c r="A66" i="58" s="1"/>
  <c r="A67" i="58" s="1"/>
  <c r="A68" i="58" s="1"/>
  <c r="A69" i="58" s="1"/>
  <c r="A70" i="58" s="1"/>
  <c r="A71" i="58" s="1"/>
  <c r="A72" i="58" s="1"/>
  <c r="A73" i="58" s="1"/>
  <c r="L56" i="58"/>
  <c r="D56" i="58"/>
  <c r="C56" i="58"/>
  <c r="B56" i="58"/>
  <c r="A18" i="58"/>
  <c r="A19" i="58" s="1"/>
  <c r="A20" i="58" s="1"/>
  <c r="A21" i="58" s="1"/>
  <c r="A22" i="58" s="1"/>
  <c r="A23" i="58" s="1"/>
  <c r="A24" i="58" s="1"/>
  <c r="A25" i="58" s="1"/>
  <c r="A26" i="58" s="1"/>
  <c r="A27" i="58" s="1"/>
  <c r="A28" i="58" s="1"/>
  <c r="A29" i="58" s="1"/>
  <c r="A30" i="58" s="1"/>
  <c r="A31" i="58" s="1"/>
  <c r="A32" i="58" s="1"/>
  <c r="A33" i="58" s="1"/>
  <c r="A34" i="58" s="1"/>
  <c r="F21" i="56"/>
  <c r="J19" i="56"/>
  <c r="J42" i="56" s="1"/>
  <c r="F19" i="54"/>
  <c r="F18" i="54"/>
  <c r="F17" i="54"/>
  <c r="F42" i="54" s="1"/>
  <c r="J19" i="51"/>
  <c r="J18" i="51"/>
  <c r="J17" i="51"/>
  <c r="J42" i="51" s="1"/>
  <c r="A57" i="57"/>
  <c r="A58" i="57" s="1"/>
  <c r="A59" i="57" s="1"/>
  <c r="A60" i="57" s="1"/>
  <c r="A61" i="57" s="1"/>
  <c r="A62" i="57" s="1"/>
  <c r="A63" i="57" s="1"/>
  <c r="A64" i="57" s="1"/>
  <c r="A65" i="57" s="1"/>
  <c r="A66" i="57" s="1"/>
  <c r="A67" i="57" s="1"/>
  <c r="A68" i="57" s="1"/>
  <c r="A69" i="57" s="1"/>
  <c r="A70" i="57" s="1"/>
  <c r="A71" i="57" s="1"/>
  <c r="A72" i="57" s="1"/>
  <c r="A73" i="57" s="1"/>
  <c r="L56" i="57"/>
  <c r="L81" i="57" s="1"/>
  <c r="D56" i="57"/>
  <c r="C56" i="57"/>
  <c r="B56" i="57"/>
  <c r="A18" i="57"/>
  <c r="A19" i="57" s="1"/>
  <c r="A20" i="57" s="1"/>
  <c r="A21" i="57" s="1"/>
  <c r="A22" i="57" s="1"/>
  <c r="A23" i="57" s="1"/>
  <c r="A24" i="57" s="1"/>
  <c r="A25" i="57" s="1"/>
  <c r="A26" i="57" s="1"/>
  <c r="A27" i="57" s="1"/>
  <c r="A28" i="57" s="1"/>
  <c r="A29" i="57" s="1"/>
  <c r="A30" i="57" s="1"/>
  <c r="A31" i="57" s="1"/>
  <c r="A32" i="57" s="1"/>
  <c r="A33" i="57" s="1"/>
  <c r="A34" i="57" s="1"/>
  <c r="L60" i="56"/>
  <c r="D60" i="56"/>
  <c r="C60" i="56"/>
  <c r="B60" i="56"/>
  <c r="L59" i="56"/>
  <c r="K20" i="56" s="1"/>
  <c r="L20" i="56" s="1"/>
  <c r="D59" i="56"/>
  <c r="C59" i="56"/>
  <c r="B59" i="56"/>
  <c r="L58" i="56"/>
  <c r="H17" i="56" s="1"/>
  <c r="D58" i="56"/>
  <c r="C58" i="56"/>
  <c r="B58" i="56"/>
  <c r="L57" i="56"/>
  <c r="D57" i="56"/>
  <c r="C57" i="56"/>
  <c r="B57" i="56"/>
  <c r="A57" i="56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L56" i="56"/>
  <c r="D56" i="56"/>
  <c r="C56" i="56"/>
  <c r="B56" i="56"/>
  <c r="K19" i="56"/>
  <c r="L19" i="56" s="1"/>
  <c r="A18" i="56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L60" i="55"/>
  <c r="H18" i="55" s="1"/>
  <c r="D60" i="55"/>
  <c r="C60" i="55"/>
  <c r="B60" i="55"/>
  <c r="L59" i="55"/>
  <c r="D59" i="55"/>
  <c r="C59" i="55"/>
  <c r="B59" i="55"/>
  <c r="L58" i="55"/>
  <c r="H17" i="55" s="1"/>
  <c r="H42" i="55" s="1"/>
  <c r="D58" i="55"/>
  <c r="C58" i="55"/>
  <c r="B58" i="55"/>
  <c r="L57" i="55"/>
  <c r="D57" i="55"/>
  <c r="C57" i="55"/>
  <c r="B57" i="55"/>
  <c r="A57" i="55"/>
  <c r="A58" i="55" s="1"/>
  <c r="A59" i="55" s="1"/>
  <c r="A60" i="55" s="1"/>
  <c r="A61" i="55" s="1"/>
  <c r="A62" i="55" s="1"/>
  <c r="A63" i="55" s="1"/>
  <c r="A64" i="55" s="1"/>
  <c r="A65" i="55" s="1"/>
  <c r="A66" i="55" s="1"/>
  <c r="A67" i="55" s="1"/>
  <c r="A68" i="55" s="1"/>
  <c r="A69" i="55" s="1"/>
  <c r="A70" i="55" s="1"/>
  <c r="A71" i="55" s="1"/>
  <c r="A72" i="55" s="1"/>
  <c r="A73" i="55" s="1"/>
  <c r="L56" i="55"/>
  <c r="D56" i="55"/>
  <c r="C56" i="55"/>
  <c r="B56" i="55"/>
  <c r="A18" i="55"/>
  <c r="A19" i="55" s="1"/>
  <c r="A20" i="55" s="1"/>
  <c r="A21" i="55" s="1"/>
  <c r="A22" i="55" s="1"/>
  <c r="A23" i="55" s="1"/>
  <c r="A24" i="55" s="1"/>
  <c r="A25" i="55" s="1"/>
  <c r="A26" i="55" s="1"/>
  <c r="A27" i="55" s="1"/>
  <c r="A28" i="55" s="1"/>
  <c r="A29" i="55" s="1"/>
  <c r="A30" i="55" s="1"/>
  <c r="A31" i="55" s="1"/>
  <c r="A32" i="55" s="1"/>
  <c r="A33" i="55" s="1"/>
  <c r="A34" i="55" s="1"/>
  <c r="L58" i="54"/>
  <c r="D58" i="54"/>
  <c r="C58" i="54"/>
  <c r="B58" i="54"/>
  <c r="L57" i="54"/>
  <c r="K18" i="54" s="1"/>
  <c r="D57" i="54"/>
  <c r="C57" i="54"/>
  <c r="B57" i="54"/>
  <c r="A57" i="54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L56" i="54"/>
  <c r="L81" i="54" s="1"/>
  <c r="D56" i="54"/>
  <c r="C56" i="54"/>
  <c r="B56" i="54"/>
  <c r="A18" i="54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D58" i="51"/>
  <c r="C58" i="51"/>
  <c r="B58" i="51"/>
  <c r="D57" i="51"/>
  <c r="C57" i="51"/>
  <c r="B57" i="51"/>
  <c r="D56" i="51"/>
  <c r="C56" i="51"/>
  <c r="B56" i="51"/>
  <c r="L81" i="58" l="1"/>
  <c r="K17" i="58"/>
  <c r="F42" i="58"/>
  <c r="H17" i="57"/>
  <c r="H42" i="57" s="1"/>
  <c r="K17" i="56"/>
  <c r="L81" i="56"/>
  <c r="K21" i="56"/>
  <c r="L21" i="56" s="1"/>
  <c r="H18" i="56"/>
  <c r="K18" i="56" s="1"/>
  <c r="L18" i="56" s="1"/>
  <c r="F42" i="56"/>
  <c r="L17" i="56"/>
  <c r="K17" i="55"/>
  <c r="L81" i="55"/>
  <c r="K21" i="55"/>
  <c r="O21" i="55" s="1"/>
  <c r="A33" i="54"/>
  <c r="A34" i="54" s="1"/>
  <c r="K19" i="54"/>
  <c r="L19" i="54" s="1"/>
  <c r="H17" i="54"/>
  <c r="H42" i="54" s="1"/>
  <c r="L18" i="54"/>
  <c r="O19" i="55"/>
  <c r="L19" i="55"/>
  <c r="L20" i="55"/>
  <c r="K17" i="59"/>
  <c r="K42" i="59" s="1"/>
  <c r="O17" i="58"/>
  <c r="L17" i="55"/>
  <c r="K17" i="57"/>
  <c r="K42" i="57" s="1"/>
  <c r="O21" i="56"/>
  <c r="S21" i="56" s="1"/>
  <c r="T21" i="56" s="1"/>
  <c r="O17" i="56"/>
  <c r="O18" i="56"/>
  <c r="S18" i="56" s="1"/>
  <c r="T18" i="56" s="1"/>
  <c r="O19" i="56"/>
  <c r="O20" i="56"/>
  <c r="S20" i="56" s="1"/>
  <c r="T20" i="56" s="1"/>
  <c r="K18" i="55"/>
  <c r="L18" i="55" s="1"/>
  <c r="O17" i="55"/>
  <c r="K17" i="54"/>
  <c r="K42" i="54" s="1"/>
  <c r="O18" i="54"/>
  <c r="O19" i="54"/>
  <c r="L17" i="58" l="1"/>
  <c r="L42" i="58" s="1"/>
  <c r="K42" i="58"/>
  <c r="S17" i="58"/>
  <c r="S42" i="58" s="1"/>
  <c r="O42" i="58"/>
  <c r="H42" i="56"/>
  <c r="L42" i="56"/>
  <c r="S17" i="56"/>
  <c r="K42" i="56"/>
  <c r="O42" i="56"/>
  <c r="K42" i="55"/>
  <c r="L21" i="55"/>
  <c r="S19" i="55"/>
  <c r="L42" i="55"/>
  <c r="S18" i="54"/>
  <c r="O17" i="59"/>
  <c r="O42" i="59" s="1"/>
  <c r="L17" i="59"/>
  <c r="L42" i="59" s="1"/>
  <c r="L17" i="57"/>
  <c r="L42" i="57" s="1"/>
  <c r="O17" i="54"/>
  <c r="O42" i="54" s="1"/>
  <c r="L17" i="54"/>
  <c r="S21" i="55"/>
  <c r="T21" i="55" s="1"/>
  <c r="O17" i="57"/>
  <c r="O42" i="57" s="1"/>
  <c r="S19" i="56"/>
  <c r="T19" i="56" s="1"/>
  <c r="O18" i="55"/>
  <c r="O42" i="55" s="1"/>
  <c r="S17" i="55"/>
  <c r="S20" i="55"/>
  <c r="T20" i="55" s="1"/>
  <c r="S19" i="54"/>
  <c r="T19" i="54" s="1"/>
  <c r="S17" i="54" l="1"/>
  <c r="T17" i="54" s="1"/>
  <c r="L42" i="54"/>
  <c r="S42" i="56"/>
  <c r="T19" i="55"/>
  <c r="S18" i="55"/>
  <c r="T18" i="55" s="1"/>
  <c r="T18" i="54"/>
  <c r="T42" i="54" s="1"/>
  <c r="S42" i="54"/>
  <c r="S17" i="57"/>
  <c r="S42" i="57" s="1"/>
  <c r="T17" i="58"/>
  <c r="T42" i="58" s="1"/>
  <c r="T17" i="56"/>
  <c r="T42" i="56" s="1"/>
  <c r="T17" i="55"/>
  <c r="S42" i="55" l="1"/>
  <c r="T42" i="55"/>
  <c r="S17" i="59"/>
  <c r="S42" i="59" s="1"/>
  <c r="T17" i="57"/>
  <c r="T42" i="57" s="1"/>
  <c r="T17" i="59" l="1"/>
  <c r="T42" i="59" s="1"/>
  <c r="K18" i="51"/>
  <c r="K19" i="51"/>
  <c r="L19" i="51" s="1"/>
  <c r="A18" i="5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L18" i="51" l="1"/>
  <c r="O18" i="51"/>
  <c r="O19" i="51"/>
  <c r="S18" i="51" l="1"/>
  <c r="S19" i="51"/>
  <c r="T19" i="51" s="1"/>
  <c r="T18" i="51" l="1"/>
  <c r="K81" i="51" l="1"/>
  <c r="J81" i="51"/>
  <c r="I81" i="51"/>
  <c r="H81" i="51"/>
  <c r="G81" i="51"/>
  <c r="F81" i="51"/>
  <c r="E81" i="51"/>
  <c r="L58" i="51"/>
  <c r="H17" i="51" s="1"/>
  <c r="L57" i="51"/>
  <c r="A57" i="5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L56" i="51"/>
  <c r="H42" i="51" l="1"/>
  <c r="K17" i="51"/>
  <c r="L81" i="51"/>
  <c r="K42" i="51" l="1"/>
  <c r="L17" i="51"/>
  <c r="O17" i="51"/>
  <c r="O42" i="51" s="1"/>
  <c r="L42" i="51" l="1"/>
  <c r="S17" i="51"/>
  <c r="S42" i="51" l="1"/>
  <c r="T17" i="51"/>
  <c r="T42" i="51" s="1"/>
</calcChain>
</file>

<file path=xl/sharedStrings.xml><?xml version="1.0" encoding="utf-8"?>
<sst xmlns="http://schemas.openxmlformats.org/spreadsheetml/2006/main" count="1118" uniqueCount="161">
  <si>
    <t xml:space="preserve"> </t>
  </si>
  <si>
    <t>FUNCTIONAL AREA:</t>
  </si>
  <si>
    <t>DEPARTMENT/AGENCY:</t>
  </si>
  <si>
    <t>PUBLIC HEALTH &amp; SOCIAL SERVICES - DIVISION OF SENIOR CITIZENS</t>
  </si>
  <si>
    <t>PROGRAM:</t>
  </si>
  <si>
    <t>STATE OFFICE ON AGING - MAINTENANCE OF EFFORT</t>
  </si>
  <si>
    <t>FUND:</t>
  </si>
  <si>
    <t>FEDERAL</t>
  </si>
  <si>
    <t>101-25-1730116</t>
  </si>
  <si>
    <t>75% Fed  / 25% Local</t>
  </si>
  <si>
    <t>Input by Department</t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</si>
  <si>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</si>
  <si>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</si>
  <si>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</si>
  <si>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</si>
  <si>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</si>
  <si>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</si>
  <si>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</si>
  <si>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</si>
  <si>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I )</t>
  </si>
  <si>
    <t>( J )</t>
  </si>
  <si>
    <t>( K )</t>
  </si>
  <si>
    <t>( L )</t>
  </si>
  <si>
    <t>( M )</t>
  </si>
  <si>
    <t>( N )</t>
  </si>
  <si>
    <t>( O )</t>
  </si>
  <si>
    <t>( P )</t>
  </si>
  <si>
    <t>( Q )</t>
  </si>
  <si>
    <t>( R )</t>
  </si>
  <si>
    <t>(S)</t>
  </si>
  <si>
    <t>Increment</t>
  </si>
  <si>
    <t xml:space="preserve">              Benefits</t>
  </si>
  <si>
    <t>Position</t>
  </si>
  <si>
    <t>Name of</t>
  </si>
  <si>
    <t>Grade/</t>
  </si>
  <si>
    <t>( E+F+G+I )</t>
  </si>
  <si>
    <t xml:space="preserve">Retirement </t>
  </si>
  <si>
    <t>Retire (DDI)</t>
  </si>
  <si>
    <t>Social Security</t>
  </si>
  <si>
    <t>Medicare</t>
  </si>
  <si>
    <t>Life</t>
  </si>
  <si>
    <t>Medical</t>
  </si>
  <si>
    <t>Dental</t>
  </si>
  <si>
    <t>Total Benefits</t>
  </si>
  <si>
    <t>( J + R )</t>
  </si>
  <si>
    <t>No.</t>
  </si>
  <si>
    <t>Number</t>
  </si>
  <si>
    <t>Title  1/</t>
  </si>
  <si>
    <t>Incumbent</t>
  </si>
  <si>
    <t>Step</t>
  </si>
  <si>
    <t>Salary</t>
  </si>
  <si>
    <t>Overtime</t>
  </si>
  <si>
    <t>Special*</t>
  </si>
  <si>
    <t>Date</t>
  </si>
  <si>
    <t>Amt.</t>
  </si>
  <si>
    <t>Subtotal</t>
  </si>
  <si>
    <t>(J * 30.77%)  2/</t>
  </si>
  <si>
    <t>($19.01*26PP) 3/</t>
  </si>
  <si>
    <t>(6.2% * J)</t>
  </si>
  <si>
    <t>(1.45% * J)</t>
  </si>
  <si>
    <t>4/</t>
  </si>
  <si>
    <t>( Premium)</t>
  </si>
  <si>
    <t>( K thru Q )</t>
  </si>
  <si>
    <t>TOTAL</t>
  </si>
  <si>
    <t>SC Administrator ($96,671@ 67.6%)</t>
  </si>
  <si>
    <t>San Nicolas, Charlene D. (7/12/21)</t>
  </si>
  <si>
    <t>SX-04</t>
  </si>
  <si>
    <t>SC Assistant Administrator ($86,243 @ 67.6%)</t>
  </si>
  <si>
    <t>Palomo, Chad (03/20/22)</t>
  </si>
  <si>
    <t>RX-03</t>
  </si>
  <si>
    <t>Management Analyst IV ($60,875 @ 67.6%)</t>
  </si>
  <si>
    <t>Brindejonc, Pinky (6/17/24)</t>
  </si>
  <si>
    <t>OX-01</t>
  </si>
  <si>
    <t>Grand Total:</t>
  </si>
  <si>
    <t>----</t>
  </si>
  <si>
    <t>* Night Differential / Hazardous / Worker's Compensation / etc.</t>
  </si>
  <si>
    <t>1/  Indicate "(LTA)" or "(Temp.)" next to Position Title (where applicable).</t>
  </si>
  <si>
    <t>2/  FY 2025 GovGuam contribution rate of 30.77% for the Government of Guam Retirement is subject to change.</t>
  </si>
  <si>
    <t>3/  FY 2025 GovGuam contribution rate of $19.01 (bi-weekly) for DDI is subject to change.</t>
  </si>
  <si>
    <t>4/  FY 2025 GovGuam contribution rate of $187 (per annum) for Life Insurance is subject to change.</t>
  </si>
  <si>
    <t>Special Pay Categories</t>
  </si>
  <si>
    <t>1/</t>
  </si>
  <si>
    <t>2/</t>
  </si>
  <si>
    <t>3/</t>
  </si>
  <si>
    <t>5/</t>
  </si>
  <si>
    <t>6/</t>
  </si>
  <si>
    <t xml:space="preserve">Holiday </t>
  </si>
  <si>
    <t>Night Differential</t>
  </si>
  <si>
    <t>Nurse Sunday</t>
  </si>
  <si>
    <t xml:space="preserve">Nurse </t>
  </si>
  <si>
    <t>EMT</t>
  </si>
  <si>
    <t>Pay</t>
  </si>
  <si>
    <t>Hazard</t>
  </si>
  <si>
    <t>( D+E+F+G+H+I+J )</t>
  </si>
  <si>
    <t>Title</t>
  </si>
  <si>
    <t>10%</t>
  </si>
  <si>
    <t>8%</t>
  </si>
  <si>
    <t>1.5</t>
  </si>
  <si>
    <t>15%</t>
  </si>
  <si>
    <t>10% of reg. rate, applicable from 6pm-6am, employee must work 4 hours consecutive after 6pm for entitlement of the pay</t>
  </si>
  <si>
    <t>Applies to law enforcement personnel</t>
  </si>
  <si>
    <t>Applies to solid waste employees</t>
  </si>
  <si>
    <t>1 ½ of reg. rate of pay from 12am Friday to 12 midnight Sunday</t>
  </si>
  <si>
    <t>1 ½ of reg. rate of pay on daily work exceeding 8 hours</t>
  </si>
  <si>
    <t>Applicable only to GFD ambulatory service personnel. 15% of reg. rate of pay</t>
  </si>
  <si>
    <t>STATE OFFICE ON AGING</t>
  </si>
  <si>
    <t xml:space="preserve">GENERAL </t>
  </si>
  <si>
    <t>100-25-1730007</t>
  </si>
  <si>
    <t>100% Local</t>
  </si>
  <si>
    <t>SC Administrator ($96,6711 @ 32.4%)</t>
  </si>
  <si>
    <t>SC Assistant Administrator ($86,243 @ 32.4%)</t>
  </si>
  <si>
    <t>Management Analyst IV ($60,875 @ 32.4%)</t>
  </si>
  <si>
    <t>STATE AGENCY ON AGING</t>
  </si>
  <si>
    <t>100-25-1730001</t>
  </si>
  <si>
    <t>Program Coordinator III</t>
  </si>
  <si>
    <t>Borja, Connie T. (6/06/23)</t>
  </si>
  <si>
    <t>NX-02</t>
  </si>
  <si>
    <t>Program Coordinator II</t>
  </si>
  <si>
    <t>Taitague II, Michael C. (2/24/25)</t>
  </si>
  <si>
    <t>MX-01</t>
  </si>
  <si>
    <t xml:space="preserve">Program Coordinator IV </t>
  </si>
  <si>
    <t>San Nicolas, Melissa (6/17/24)</t>
  </si>
  <si>
    <t>OX-06</t>
  </si>
  <si>
    <t>Administrative Officer</t>
  </si>
  <si>
    <t>Diego, Cherika (5/13/24)</t>
  </si>
  <si>
    <t>LX-01</t>
  </si>
  <si>
    <t>DSC-24-043</t>
  </si>
  <si>
    <t>Management Analyst ($41,372 @ 60%) LTA</t>
  </si>
  <si>
    <t>Cabanero, Ryan (6/15/24)</t>
  </si>
  <si>
    <t>KX-01</t>
  </si>
  <si>
    <t>BUREAU OF ADULT PROTECTIVE SERVICES</t>
  </si>
  <si>
    <t>100-25-1731005</t>
  </si>
  <si>
    <t>6205</t>
  </si>
  <si>
    <t>Human Services Program Administrator</t>
  </si>
  <si>
    <t>Krisinda Aguon (12/18/23)</t>
  </si>
  <si>
    <t>RX-05</t>
  </si>
  <si>
    <t>6364</t>
  </si>
  <si>
    <t>Social Service Supervisor I</t>
  </si>
  <si>
    <t>Manibusan, Evelyn TU (11/04/19)</t>
  </si>
  <si>
    <t>OX-12</t>
  </si>
  <si>
    <t>6915</t>
  </si>
  <si>
    <t>Social Worker III ($68,648 @ 60%)</t>
  </si>
  <si>
    <t>Gombar, Michael J. (5/03/21)</t>
  </si>
  <si>
    <t>NX-07</t>
  </si>
  <si>
    <t>Program Coordinator IV</t>
  </si>
  <si>
    <t>Gomez, Jeanette M. (4/26/21)</t>
  </si>
  <si>
    <t>OX-11</t>
  </si>
  <si>
    <t xml:space="preserve">Social Worker III </t>
  </si>
  <si>
    <t>Ilesugam, Sarita (7/15/24)</t>
  </si>
  <si>
    <t>NX-01</t>
  </si>
  <si>
    <t>OMBUDSMAN</t>
  </si>
  <si>
    <t>FEDERAL FUNDS</t>
  </si>
  <si>
    <t>101-25-1730108</t>
  </si>
  <si>
    <t>100% Federal</t>
  </si>
  <si>
    <t>Social Worker III ($68,648 @ 40%)</t>
  </si>
  <si>
    <t>SENIOR MEDICARE PATROL</t>
  </si>
  <si>
    <t>101-24-1730112</t>
  </si>
  <si>
    <t>Management Analyst ($41,372 @ 20%) LTA</t>
  </si>
  <si>
    <t>STATE HEALTH INSURANCE ASSISTANCE PROGRAM</t>
  </si>
  <si>
    <t>101-24-1730111</t>
  </si>
  <si>
    <t>SOCIAL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</si>
</sst>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$&quot;#,##0_);\(&quot;$&quot;#,##0\)"/>
    <numFmt numFmtId="165" formatCode="_(* #,##0.00_);_(* \(#,##0.00\);_(* &quot;-&quot;??_);_(@_)"/>
    <numFmt numFmtId="166" formatCode="_(\$* #,##0.00_);_(\$* \(#,##0.00\);_(\$* \-??_);_(@_)"/>
    <numFmt numFmtId="167" formatCode="#.00"/>
    <numFmt numFmtId="168" formatCode="0_);\(0\)"/>
    <numFmt numFmtId="169" formatCode="mm/dd/yy;@"/>
    <numFmt numFmtId="170" formatCode="_(* #,##0_);_(* \(#,##0\);_(* &quot;-&quot;??_);_(@_)"/>
    <numFmt numFmtId="171" formatCode="&quot;$&quot;#,##0"/>
  </numFmts>
  <fonts count="44">
    <font>
      <sz val="12"/>
      <name val="SWISS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SWISS"/>
    </font>
    <font>
      <sz val="8"/>
      <color indexed="8"/>
      <name val="SWISS"/>
    </font>
    <font>
      <b/>
      <sz val="8"/>
      <color indexed="8"/>
      <name val="Times New Roman"/>
      <family val="1"/>
    </font>
    <font>
      <sz val="8"/>
      <name val="SWISS"/>
    </font>
    <font>
      <sz val="8"/>
      <name val="Times New Roman"/>
      <family val="1"/>
    </font>
    <font>
      <b/>
      <sz val="10"/>
      <color indexed="8"/>
      <name val="Times New Roman"/>
      <family val="1"/>
    </font>
    <font>
      <b/>
      <sz val="8"/>
      <name val="Times New Roman"/>
      <family val="1"/>
    </font>
    <font>
      <b/>
      <sz val="12"/>
      <color indexed="8"/>
      <name val="Times New Roman"/>
      <family val="1"/>
    </font>
    <font>
      <b/>
      <sz val="7"/>
      <color indexed="8"/>
      <name val="Times New Roman"/>
      <family val="1"/>
    </font>
    <font>
      <sz val="10"/>
      <name val="Arial"/>
      <family val="2"/>
    </font>
    <font>
      <sz val="12"/>
      <name val="SWISS"/>
    </font>
    <font>
      <sz val="12"/>
      <name val="SWISS"/>
      <family val="2"/>
    </font>
    <font>
      <sz val="12"/>
      <name val="Arial"/>
      <family val="2"/>
    </font>
    <font>
      <sz val="10"/>
      <name val="Arial"/>
      <family val="2"/>
    </font>
    <font>
      <u/>
      <sz val="12"/>
      <color theme="10"/>
      <name val="SWISS"/>
    </font>
    <font>
      <u/>
      <sz val="12"/>
      <color theme="11"/>
      <name val="SWISS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8"/>
      <color theme="1"/>
      <name val="Times New Roman"/>
      <family val="1"/>
    </font>
    <font>
      <b/>
      <sz val="8"/>
      <color rgb="FFFF0000"/>
      <name val="SWISS"/>
    </font>
    <font>
      <sz val="8"/>
      <color rgb="FFFF0000"/>
      <name val="SWISS"/>
    </font>
    <font>
      <b/>
      <sz val="11"/>
      <color indexed="8"/>
      <name val="Times New Roman"/>
      <family val="1"/>
    </font>
  </fonts>
  <fills count="29">
    <fill>
      <patternFill patternType="none"/>
    </fill>
    <fill>
      <patternFill patternType="gray125"/>
    </fill>
    <fill>
      <patternFill patternType="lightGray">
        <bgColor indexed="9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60">
    <xf numFmtId="37" fontId="0" fillId="0" borderId="0"/>
    <xf numFmtId="165" fontId="13" fillId="0" borderId="0" applyFont="0" applyFill="0" applyBorder="0" applyAlignment="0" applyProtection="0"/>
    <xf numFmtId="0" fontId="2" fillId="0" borderId="0"/>
    <xf numFmtId="37" fontId="13" fillId="0" borderId="0"/>
    <xf numFmtId="37" fontId="14" fillId="0" borderId="0"/>
    <xf numFmtId="0" fontId="16" fillId="0" borderId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0" fontId="15" fillId="0" borderId="0"/>
    <xf numFmtId="165" fontId="12" fillId="0" borderId="0" applyFont="0" applyFill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0" fontId="21" fillId="8" borderId="0" applyNumberFormat="0" applyBorder="0" applyAlignment="0" applyProtection="0"/>
    <xf numFmtId="0" fontId="22" fillId="25" borderId="35" applyNumberFormat="0" applyAlignment="0" applyProtection="0"/>
    <xf numFmtId="0" fontId="23" fillId="26" borderId="36" applyNumberFormat="0" applyAlignment="0" applyProtection="0"/>
    <xf numFmtId="166" fontId="15" fillId="0" borderId="0" applyFill="0" applyBorder="0" applyAlignment="0" applyProtection="0"/>
    <xf numFmtId="0" fontId="24" fillId="0" borderId="0">
      <protection locked="0"/>
    </xf>
    <xf numFmtId="0" fontId="25" fillId="0" borderId="0" applyNumberFormat="0" applyFill="0" applyBorder="0" applyAlignment="0" applyProtection="0"/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167" fontId="24" fillId="0" borderId="0">
      <protection locked="0"/>
    </xf>
    <xf numFmtId="0" fontId="26" fillId="9" borderId="0" applyNumberFormat="0" applyBorder="0" applyAlignment="0" applyProtection="0"/>
    <xf numFmtId="0" fontId="27" fillId="0" borderId="37" applyNumberFormat="0" applyFill="0" applyAlignment="0" applyProtection="0"/>
    <xf numFmtId="0" fontId="28" fillId="0" borderId="38" applyNumberFormat="0" applyFill="0" applyAlignment="0" applyProtection="0"/>
    <xf numFmtId="0" fontId="29" fillId="0" borderId="3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>
      <protection locked="0"/>
    </xf>
    <xf numFmtId="0" fontId="30" fillId="0" borderId="0">
      <protection locked="0"/>
    </xf>
    <xf numFmtId="0" fontId="31" fillId="12" borderId="35" applyNumberFormat="0" applyAlignment="0" applyProtection="0"/>
    <xf numFmtId="0" fontId="32" fillId="0" borderId="40" applyNumberFormat="0" applyFill="0" applyAlignment="0" applyProtection="0"/>
    <xf numFmtId="0" fontId="33" fillId="27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37" fontId="34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15" fillId="0" borderId="0"/>
    <xf numFmtId="0" fontId="15" fillId="28" borderId="41" applyNumberFormat="0" applyFont="0" applyAlignment="0" applyProtection="0"/>
    <xf numFmtId="0" fontId="35" fillId="25" borderId="42" applyNumberFormat="0" applyAlignment="0" applyProtection="0"/>
    <xf numFmtId="9" fontId="12" fillId="0" borderId="0" applyFont="0" applyFill="0" applyBorder="0" applyAlignment="0" applyProtection="0"/>
    <xf numFmtId="9" fontId="15" fillId="0" borderId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3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0"/>
    <xf numFmtId="0" fontId="1" fillId="0" borderId="0"/>
    <xf numFmtId="0" fontId="19" fillId="0" borderId="0"/>
    <xf numFmtId="37" fontId="34" fillId="0" borderId="0"/>
    <xf numFmtId="37" fontId="13" fillId="0" borderId="0"/>
  </cellStyleXfs>
  <cellXfs count="163">
    <xf numFmtId="37" fontId="0" fillId="0" borderId="0" xfId="0"/>
    <xf numFmtId="37" fontId="3" fillId="0" borderId="0" xfId="0" applyFont="1"/>
    <xf numFmtId="37" fontId="4" fillId="0" borderId="0" xfId="0" applyFont="1"/>
    <xf numFmtId="37" fontId="5" fillId="0" borderId="0" xfId="0" applyFont="1"/>
    <xf numFmtId="37" fontId="5" fillId="0" borderId="0" xfId="0" quotePrefix="1" applyFont="1" applyAlignment="1">
      <alignment horizontal="center"/>
    </xf>
    <xf numFmtId="37" fontId="5" fillId="0" borderId="0" xfId="0" applyFont="1" applyAlignment="1">
      <alignment horizontal="center"/>
    </xf>
    <xf numFmtId="37" fontId="5" fillId="0" borderId="1" xfId="0" applyFont="1" applyBorder="1" applyAlignment="1">
      <alignment horizontal="center"/>
    </xf>
    <xf numFmtId="37" fontId="5" fillId="0" borderId="1" xfId="0" applyFont="1" applyBorder="1"/>
    <xf numFmtId="14" fontId="5" fillId="0" borderId="1" xfId="0" applyNumberFormat="1" applyFont="1" applyBorder="1" applyAlignment="1">
      <alignment horizontal="center"/>
    </xf>
    <xf numFmtId="37" fontId="6" fillId="0" borderId="0" xfId="0" applyFont="1"/>
    <xf numFmtId="164" fontId="5" fillId="0" borderId="1" xfId="0" applyNumberFormat="1" applyFont="1" applyBorder="1"/>
    <xf numFmtId="37" fontId="5" fillId="0" borderId="2" xfId="0" applyFont="1" applyBorder="1" applyAlignment="1">
      <alignment horizontal="center"/>
    </xf>
    <xf numFmtId="10" fontId="5" fillId="2" borderId="1" xfId="0" quotePrefix="1" applyNumberFormat="1" applyFont="1" applyFill="1" applyBorder="1" applyAlignment="1">
      <alignment horizontal="center"/>
    </xf>
    <xf numFmtId="37" fontId="5" fillId="2" borderId="1" xfId="0" quotePrefix="1" applyFont="1" applyFill="1" applyBorder="1" applyAlignment="1">
      <alignment horizontal="center"/>
    </xf>
    <xf numFmtId="37" fontId="5" fillId="2" borderId="1" xfId="0" applyFont="1" applyFill="1" applyBorder="1"/>
    <xf numFmtId="37" fontId="5" fillId="0" borderId="1" xfId="0" applyFont="1" applyBorder="1" applyAlignment="1">
      <alignment horizontal="right"/>
    </xf>
    <xf numFmtId="37" fontId="8" fillId="0" borderId="0" xfId="0" applyFont="1"/>
    <xf numFmtId="37" fontId="9" fillId="0" borderId="0" xfId="0" applyFont="1" applyAlignment="1">
      <alignment horizontal="center"/>
    </xf>
    <xf numFmtId="37" fontId="10" fillId="0" borderId="0" xfId="0" applyFont="1"/>
    <xf numFmtId="37" fontId="5" fillId="3" borderId="3" xfId="0" applyFont="1" applyFill="1" applyBorder="1" applyAlignment="1">
      <alignment horizontal="center"/>
    </xf>
    <xf numFmtId="37" fontId="5" fillId="3" borderId="4" xfId="0" applyFont="1" applyFill="1" applyBorder="1" applyAlignment="1">
      <alignment horizontal="center"/>
    </xf>
    <xf numFmtId="37" fontId="5" fillId="3" borderId="5" xfId="0" applyFont="1" applyFill="1" applyBorder="1" applyAlignment="1">
      <alignment horizontal="center"/>
    </xf>
    <xf numFmtId="37" fontId="5" fillId="3" borderId="6" xfId="0" applyFont="1" applyFill="1" applyBorder="1" applyAlignment="1">
      <alignment horizontal="center"/>
    </xf>
    <xf numFmtId="37" fontId="5" fillId="3" borderId="7" xfId="0" applyFont="1" applyFill="1" applyBorder="1" applyAlignment="1">
      <alignment horizontal="center"/>
    </xf>
    <xf numFmtId="37" fontId="5" fillId="3" borderId="0" xfId="0" applyFont="1" applyFill="1" applyAlignment="1">
      <alignment horizontal="center"/>
    </xf>
    <xf numFmtId="37" fontId="5" fillId="3" borderId="8" xfId="0" applyFont="1" applyFill="1" applyBorder="1" applyAlignment="1">
      <alignment horizontal="center"/>
    </xf>
    <xf numFmtId="37" fontId="5" fillId="3" borderId="9" xfId="0" applyFont="1" applyFill="1" applyBorder="1" applyAlignment="1">
      <alignment horizontal="center"/>
    </xf>
    <xf numFmtId="37" fontId="5" fillId="3" borderId="10" xfId="0" applyFont="1" applyFill="1" applyBorder="1" applyAlignment="1">
      <alignment horizontal="center"/>
    </xf>
    <xf numFmtId="164" fontId="5" fillId="0" borderId="10" xfId="0" applyNumberFormat="1" applyFont="1" applyBorder="1"/>
    <xf numFmtId="39" fontId="5" fillId="3" borderId="9" xfId="0" applyNumberFormat="1" applyFont="1" applyFill="1" applyBorder="1" applyAlignment="1">
      <alignment horizontal="center"/>
    </xf>
    <xf numFmtId="37" fontId="5" fillId="3" borderId="11" xfId="0" applyFont="1" applyFill="1" applyBorder="1" applyAlignment="1">
      <alignment horizontal="center"/>
    </xf>
    <xf numFmtId="37" fontId="5" fillId="0" borderId="12" xfId="0" quotePrefix="1" applyFont="1" applyBorder="1" applyAlignment="1">
      <alignment horizontal="center"/>
    </xf>
    <xf numFmtId="37" fontId="5" fillId="0" borderId="10" xfId="0" applyFont="1" applyBorder="1"/>
    <xf numFmtId="37" fontId="5" fillId="0" borderId="13" xfId="0" quotePrefix="1" applyFont="1" applyBorder="1" applyAlignment="1">
      <alignment horizontal="center"/>
    </xf>
    <xf numFmtId="37" fontId="5" fillId="4" borderId="14" xfId="0" applyFont="1" applyFill="1" applyBorder="1" applyAlignment="1">
      <alignment horizontal="center"/>
    </xf>
    <xf numFmtId="37" fontId="5" fillId="4" borderId="4" xfId="0" applyFont="1" applyFill="1" applyBorder="1" applyAlignment="1">
      <alignment horizontal="center"/>
    </xf>
    <xf numFmtId="37" fontId="5" fillId="4" borderId="15" xfId="0" applyFont="1" applyFill="1" applyBorder="1" applyAlignment="1">
      <alignment horizontal="center"/>
    </xf>
    <xf numFmtId="37" fontId="5" fillId="4" borderId="16" xfId="0" applyFont="1" applyFill="1" applyBorder="1" applyAlignment="1">
      <alignment horizontal="center"/>
    </xf>
    <xf numFmtId="37" fontId="5" fillId="4" borderId="17" xfId="0" applyFont="1" applyFill="1" applyBorder="1" applyAlignment="1">
      <alignment horizontal="center"/>
    </xf>
    <xf numFmtId="37" fontId="5" fillId="4" borderId="18" xfId="0" applyFont="1" applyFill="1" applyBorder="1" applyAlignment="1">
      <alignment horizontal="center"/>
    </xf>
    <xf numFmtId="37" fontId="5" fillId="4" borderId="19" xfId="0" applyFont="1" applyFill="1" applyBorder="1" applyAlignment="1">
      <alignment horizontal="center"/>
    </xf>
    <xf numFmtId="37" fontId="5" fillId="0" borderId="20" xfId="0" applyFont="1" applyBorder="1"/>
    <xf numFmtId="37" fontId="5" fillId="0" borderId="13" xfId="0" applyFont="1" applyBorder="1"/>
    <xf numFmtId="37" fontId="5" fillId="4" borderId="17" xfId="0" quotePrefix="1" applyFont="1" applyFill="1" applyBorder="1" applyAlignment="1">
      <alignment horizontal="center"/>
    </xf>
    <xf numFmtId="37" fontId="5" fillId="0" borderId="21" xfId="0" quotePrefix="1" applyFont="1" applyBorder="1" applyAlignment="1">
      <alignment horizontal="center"/>
    </xf>
    <xf numFmtId="37" fontId="5" fillId="0" borderId="22" xfId="0" quotePrefix="1" applyFont="1" applyBorder="1" applyAlignment="1">
      <alignment horizontal="center"/>
    </xf>
    <xf numFmtId="37" fontId="5" fillId="4" borderId="23" xfId="0" applyFont="1" applyFill="1" applyBorder="1" applyAlignment="1">
      <alignment horizontal="center"/>
    </xf>
    <xf numFmtId="37" fontId="5" fillId="4" borderId="24" xfId="0" applyFont="1" applyFill="1" applyBorder="1" applyAlignment="1">
      <alignment horizontal="center"/>
    </xf>
    <xf numFmtId="37" fontId="5" fillId="4" borderId="20" xfId="0" applyFont="1" applyFill="1" applyBorder="1" applyAlignment="1">
      <alignment horizontal="center"/>
    </xf>
    <xf numFmtId="37" fontId="5" fillId="4" borderId="25" xfId="0" quotePrefix="1" applyFont="1" applyFill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37" fontId="3" fillId="0" borderId="0" xfId="0" applyFont="1" applyAlignment="1">
      <alignment horizontal="center"/>
    </xf>
    <xf numFmtId="37" fontId="5" fillId="4" borderId="0" xfId="0" applyFont="1" applyFill="1"/>
    <xf numFmtId="37" fontId="5" fillId="5" borderId="26" xfId="0" applyFont="1" applyFill="1" applyBorder="1" applyAlignment="1">
      <alignment horizontal="centerContinuous"/>
    </xf>
    <xf numFmtId="37" fontId="5" fillId="5" borderId="27" xfId="0" applyFont="1" applyFill="1" applyBorder="1" applyAlignment="1">
      <alignment horizontal="centerContinuous"/>
    </xf>
    <xf numFmtId="37" fontId="5" fillId="5" borderId="28" xfId="0" applyFont="1" applyFill="1" applyBorder="1" applyAlignment="1">
      <alignment horizontal="centerContinuous"/>
    </xf>
    <xf numFmtId="37" fontId="11" fillId="4" borderId="29" xfId="0" applyFont="1" applyFill="1" applyBorder="1" applyAlignment="1">
      <alignment horizontal="center"/>
    </xf>
    <xf numFmtId="37" fontId="5" fillId="0" borderId="30" xfId="0" quotePrefix="1" applyFont="1" applyBorder="1" applyAlignment="1">
      <alignment horizontal="center"/>
    </xf>
    <xf numFmtId="37" fontId="5" fillId="4" borderId="4" xfId="0" applyFont="1" applyFill="1" applyBorder="1" applyAlignment="1">
      <alignment horizontal="center" wrapText="1"/>
    </xf>
    <xf numFmtId="37" fontId="5" fillId="4" borderId="16" xfId="0" applyFont="1" applyFill="1" applyBorder="1" applyAlignment="1">
      <alignment horizontal="center" wrapText="1"/>
    </xf>
    <xf numFmtId="37" fontId="5" fillId="0" borderId="32" xfId="0" applyFont="1" applyBorder="1" applyAlignment="1">
      <alignment horizontal="center"/>
    </xf>
    <xf numFmtId="37" fontId="5" fillId="0" borderId="33" xfId="0" applyFont="1" applyBorder="1" applyAlignment="1">
      <alignment horizontal="center"/>
    </xf>
    <xf numFmtId="164" fontId="5" fillId="0" borderId="10" xfId="0" applyNumberFormat="1" applyFont="1" applyBorder="1" applyAlignment="1">
      <alignment horizontal="right"/>
    </xf>
    <xf numFmtId="1" fontId="5" fillId="0" borderId="10" xfId="0" applyNumberFormat="1" applyFont="1" applyBorder="1"/>
    <xf numFmtId="37" fontId="8" fillId="0" borderId="0" xfId="3" applyFont="1"/>
    <xf numFmtId="1" fontId="5" fillId="0" borderId="10" xfId="1" applyNumberFormat="1" applyFont="1" applyFill="1" applyBorder="1" applyAlignment="1" applyProtection="1">
      <alignment horizontal="center"/>
    </xf>
    <xf numFmtId="49" fontId="5" fillId="0" borderId="10" xfId="3" applyNumberFormat="1" applyFont="1" applyBorder="1" applyAlignment="1">
      <alignment horizontal="center"/>
    </xf>
    <xf numFmtId="1" fontId="5" fillId="0" borderId="10" xfId="1" applyNumberFormat="1" applyFont="1" applyBorder="1" applyAlignment="1" applyProtection="1">
      <alignment horizontal="center"/>
    </xf>
    <xf numFmtId="49" fontId="5" fillId="0" borderId="1" xfId="3" applyNumberFormat="1" applyFont="1" applyBorder="1" applyAlignment="1">
      <alignment horizontal="center"/>
    </xf>
    <xf numFmtId="37" fontId="8" fillId="0" borderId="0" xfId="0" applyFont="1" applyProtection="1">
      <protection locked="0"/>
    </xf>
    <xf numFmtId="37" fontId="5" fillId="3" borderId="10" xfId="0" applyFont="1" applyFill="1" applyBorder="1" applyAlignment="1" applyProtection="1">
      <alignment horizontal="center"/>
      <protection locked="0"/>
    </xf>
    <xf numFmtId="49" fontId="5" fillId="0" borderId="10" xfId="3" applyNumberFormat="1" applyFont="1" applyBorder="1" applyAlignment="1">
      <alignment horizontal="center" wrapText="1"/>
    </xf>
    <xf numFmtId="37" fontId="5" fillId="0" borderId="1" xfId="0" applyFont="1" applyBorder="1" applyAlignment="1">
      <alignment horizontal="center" vertical="center"/>
    </xf>
    <xf numFmtId="37" fontId="5" fillId="0" borderId="1" xfId="0" applyFont="1" applyBorder="1" applyAlignment="1">
      <alignment vertical="center"/>
    </xf>
    <xf numFmtId="37" fontId="5" fillId="0" borderId="1" xfId="0" applyFont="1" applyBorder="1" applyAlignment="1">
      <alignment horizontal="right" vertical="center"/>
    </xf>
    <xf numFmtId="1" fontId="5" fillId="0" borderId="10" xfId="1" applyNumberFormat="1" applyFont="1" applyBorder="1" applyAlignment="1" applyProtection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3" applyNumberFormat="1" applyFont="1" applyBorder="1" applyAlignment="1">
      <alignment horizontal="center" vertical="center"/>
    </xf>
    <xf numFmtId="1" fontId="5" fillId="3" borderId="10" xfId="1" applyNumberFormat="1" applyFont="1" applyFill="1" applyBorder="1" applyAlignment="1" applyProtection="1">
      <alignment horizontal="center" vertical="center"/>
    </xf>
    <xf numFmtId="49" fontId="5" fillId="0" borderId="10" xfId="3" applyNumberFormat="1" applyFont="1" applyBorder="1" applyAlignment="1">
      <alignment horizontal="center" vertical="center"/>
    </xf>
    <xf numFmtId="49" fontId="5" fillId="0" borderId="1" xfId="3" applyNumberFormat="1" applyFont="1" applyBorder="1" applyAlignment="1">
      <alignment horizontal="center" vertical="center" wrapText="1"/>
    </xf>
    <xf numFmtId="49" fontId="5" fillId="3" borderId="10" xfId="3" applyNumberFormat="1" applyFont="1" applyFill="1" applyBorder="1" applyAlignment="1">
      <alignment horizontal="center" vertical="center"/>
    </xf>
    <xf numFmtId="49" fontId="5" fillId="0" borderId="1" xfId="4" applyNumberFormat="1" applyFont="1" applyBorder="1" applyAlignment="1">
      <alignment horizontal="center" vertical="center" wrapText="1"/>
    </xf>
    <xf numFmtId="49" fontId="5" fillId="0" borderId="10" xfId="3" applyNumberFormat="1" applyFont="1" applyBorder="1" applyAlignment="1">
      <alignment horizontal="center" vertical="center" wrapText="1"/>
    </xf>
    <xf numFmtId="14" fontId="40" fillId="0" borderId="1" xfId="0" applyNumberFormat="1" applyFont="1" applyBorder="1" applyAlignment="1">
      <alignment horizontal="center"/>
    </xf>
    <xf numFmtId="37" fontId="40" fillId="0" borderId="10" xfId="0" applyFont="1" applyBorder="1"/>
    <xf numFmtId="14" fontId="9" fillId="0" borderId="1" xfId="0" applyNumberFormat="1" applyFont="1" applyBorder="1" applyAlignment="1">
      <alignment horizontal="center"/>
    </xf>
    <xf numFmtId="37" fontId="9" fillId="0" borderId="10" xfId="0" applyFont="1" applyBorder="1"/>
    <xf numFmtId="14" fontId="9" fillId="0" borderId="1" xfId="0" applyNumberFormat="1" applyFont="1" applyBorder="1" applyAlignment="1">
      <alignment horizontal="center" vertical="center"/>
    </xf>
    <xf numFmtId="37" fontId="9" fillId="0" borderId="10" xfId="0" applyFont="1" applyBorder="1" applyAlignment="1">
      <alignment vertical="center"/>
    </xf>
    <xf numFmtId="37" fontId="5" fillId="0" borderId="10" xfId="0" applyFont="1" applyBorder="1" applyAlignment="1">
      <alignment vertical="center"/>
    </xf>
    <xf numFmtId="37" fontId="5" fillId="0" borderId="10" xfId="0" applyFont="1" applyBorder="1" applyAlignment="1">
      <alignment horizontal="right" vertical="center"/>
    </xf>
    <xf numFmtId="37" fontId="5" fillId="5" borderId="44" xfId="0" applyFont="1" applyFill="1" applyBorder="1" applyAlignment="1">
      <alignment horizontal="centerContinuous"/>
    </xf>
    <xf numFmtId="37" fontId="5" fillId="5" borderId="45" xfId="0" applyFont="1" applyFill="1" applyBorder="1" applyAlignment="1">
      <alignment horizontal="centerContinuous"/>
    </xf>
    <xf numFmtId="37" fontId="5" fillId="5" borderId="46" xfId="0" applyFont="1" applyFill="1" applyBorder="1" applyAlignment="1">
      <alignment horizontal="centerContinuous"/>
    </xf>
    <xf numFmtId="37" fontId="5" fillId="6" borderId="46" xfId="0" applyFont="1" applyFill="1" applyBorder="1" applyAlignment="1">
      <alignment horizontal="centerContinuous"/>
    </xf>
    <xf numFmtId="37" fontId="5" fillId="6" borderId="31" xfId="0" applyFont="1" applyFill="1" applyBorder="1" applyAlignment="1">
      <alignment horizontal="centerContinuous"/>
    </xf>
    <xf numFmtId="37" fontId="5" fillId="0" borderId="47" xfId="0" applyFont="1" applyBorder="1" applyAlignment="1">
      <alignment horizontal="centerContinuous"/>
    </xf>
    <xf numFmtId="37" fontId="5" fillId="0" borderId="48" xfId="0" applyFont="1" applyBorder="1" applyAlignment="1">
      <alignment horizontal="centerContinuous"/>
    </xf>
    <xf numFmtId="37" fontId="5" fillId="0" borderId="49" xfId="0" applyFont="1" applyBorder="1" applyAlignment="1">
      <alignment horizontal="centerContinuous"/>
    </xf>
    <xf numFmtId="37" fontId="5" fillId="0" borderId="50" xfId="0" quotePrefix="1" applyFont="1" applyBorder="1" applyAlignment="1">
      <alignment horizontal="center"/>
    </xf>
    <xf numFmtId="37" fontId="5" fillId="0" borderId="51" xfId="0" quotePrefix="1" applyFont="1" applyBorder="1" applyAlignment="1">
      <alignment horizontal="center"/>
    </xf>
    <xf numFmtId="37" fontId="5" fillId="0" borderId="52" xfId="0" quotePrefix="1" applyFont="1" applyBorder="1" applyAlignment="1">
      <alignment horizontal="center"/>
    </xf>
    <xf numFmtId="37" fontId="5" fillId="4" borderId="53" xfId="0" applyFont="1" applyFill="1" applyBorder="1" applyAlignment="1">
      <alignment horizontal="center"/>
    </xf>
    <xf numFmtId="37" fontId="5" fillId="3" borderId="54" xfId="0" applyFont="1" applyFill="1" applyBorder="1" applyAlignment="1">
      <alignment horizontal="center"/>
    </xf>
    <xf numFmtId="37" fontId="5" fillId="4" borderId="55" xfId="0" applyFont="1" applyFill="1" applyBorder="1" applyAlignment="1">
      <alignment horizontal="center"/>
    </xf>
    <xf numFmtId="37" fontId="5" fillId="3" borderId="56" xfId="0" applyFont="1" applyFill="1" applyBorder="1" applyAlignment="1">
      <alignment horizontal="center"/>
    </xf>
    <xf numFmtId="37" fontId="5" fillId="4" borderId="57" xfId="0" applyFont="1" applyFill="1" applyBorder="1" applyAlignment="1">
      <alignment horizontal="center"/>
    </xf>
    <xf numFmtId="37" fontId="5" fillId="4" borderId="58" xfId="0" applyFont="1" applyFill="1" applyBorder="1" applyAlignment="1">
      <alignment horizontal="center"/>
    </xf>
    <xf numFmtId="37" fontId="5" fillId="4" borderId="58" xfId="0" quotePrefix="1" applyFont="1" applyFill="1" applyBorder="1" applyAlignment="1">
      <alignment horizontal="center"/>
    </xf>
    <xf numFmtId="37" fontId="5" fillId="3" borderId="59" xfId="0" applyFont="1" applyFill="1" applyBorder="1" applyAlignment="1">
      <alignment horizontal="center"/>
    </xf>
    <xf numFmtId="37" fontId="8" fillId="0" borderId="0" xfId="3" applyFont="1" applyAlignment="1">
      <alignment vertical="center"/>
    </xf>
    <xf numFmtId="168" fontId="5" fillId="0" borderId="10" xfId="159" applyNumberFormat="1" applyFont="1" applyBorder="1" applyAlignment="1">
      <alignment horizontal="center"/>
    </xf>
    <xf numFmtId="49" fontId="5" fillId="0" borderId="10" xfId="159" applyNumberFormat="1" applyFont="1" applyBorder="1" applyAlignment="1">
      <alignment horizontal="left"/>
    </xf>
    <xf numFmtId="49" fontId="5" fillId="0" borderId="10" xfId="159" applyNumberFormat="1" applyFont="1" applyBorder="1" applyAlignment="1">
      <alignment horizontal="center"/>
    </xf>
    <xf numFmtId="168" fontId="5" fillId="0" borderId="1" xfId="159" applyNumberFormat="1" applyFont="1" applyBorder="1" applyAlignment="1">
      <alignment horizontal="center"/>
    </xf>
    <xf numFmtId="49" fontId="5" fillId="0" borderId="1" xfId="159" applyNumberFormat="1" applyFont="1" applyBorder="1" applyAlignment="1">
      <alignment horizontal="center"/>
    </xf>
    <xf numFmtId="1" fontId="5" fillId="0" borderId="1" xfId="1" applyNumberFormat="1" applyFont="1" applyBorder="1" applyAlignment="1" applyProtection="1">
      <alignment horizontal="center"/>
    </xf>
    <xf numFmtId="49" fontId="5" fillId="0" borderId="1" xfId="3" applyNumberFormat="1" applyFont="1" applyBorder="1" applyAlignment="1">
      <alignment horizontal="left"/>
    </xf>
    <xf numFmtId="168" fontId="9" fillId="0" borderId="10" xfId="159" applyNumberFormat="1" applyFont="1" applyBorder="1" applyAlignment="1">
      <alignment horizontal="center"/>
    </xf>
    <xf numFmtId="168" fontId="40" fillId="0" borderId="1" xfId="159" applyNumberFormat="1" applyFont="1" applyBorder="1" applyAlignment="1">
      <alignment horizontal="center"/>
    </xf>
    <xf numFmtId="49" fontId="40" fillId="0" borderId="1" xfId="159" applyNumberFormat="1" applyFont="1" applyBorder="1" applyAlignment="1">
      <alignment horizontal="center"/>
    </xf>
    <xf numFmtId="0" fontId="5" fillId="0" borderId="1" xfId="159" applyNumberFormat="1" applyFont="1" applyBorder="1" applyAlignment="1">
      <alignment horizontal="center"/>
    </xf>
    <xf numFmtId="37" fontId="41" fillId="0" borderId="0" xfId="0" applyFont="1"/>
    <xf numFmtId="37" fontId="42" fillId="0" borderId="0" xfId="0" applyFont="1"/>
    <xf numFmtId="37" fontId="43" fillId="0" borderId="0" xfId="159" applyFont="1"/>
    <xf numFmtId="0" fontId="5" fillId="0" borderId="10" xfId="159" applyNumberFormat="1" applyFont="1" applyBorder="1" applyAlignment="1">
      <alignment horizontal="center"/>
    </xf>
    <xf numFmtId="169" fontId="5" fillId="0" borderId="1" xfId="159" applyNumberFormat="1" applyFont="1" applyBorder="1" applyAlignment="1">
      <alignment horizontal="center"/>
    </xf>
    <xf numFmtId="37" fontId="9" fillId="0" borderId="1" xfId="0" applyFont="1" applyBorder="1" applyAlignment="1">
      <alignment horizontal="center"/>
    </xf>
    <xf numFmtId="170" fontId="5" fillId="0" borderId="10" xfId="1" applyNumberFormat="1" applyFont="1" applyBorder="1"/>
    <xf numFmtId="170" fontId="5" fillId="0" borderId="1" xfId="1" applyNumberFormat="1" applyFont="1" applyBorder="1" applyAlignment="1">
      <alignment horizontal="center"/>
    </xf>
    <xf numFmtId="170" fontId="5" fillId="0" borderId="1" xfId="1" applyNumberFormat="1" applyFont="1" applyBorder="1" applyAlignment="1">
      <alignment horizontal="right"/>
    </xf>
    <xf numFmtId="170" fontId="5" fillId="0" borderId="1" xfId="1" applyNumberFormat="1" applyFont="1" applyBorder="1"/>
    <xf numFmtId="170" fontId="40" fillId="0" borderId="1" xfId="1" applyNumberFormat="1" applyFont="1" applyBorder="1"/>
    <xf numFmtId="170" fontId="40" fillId="0" borderId="10" xfId="1" applyNumberFormat="1" applyFont="1" applyBorder="1"/>
    <xf numFmtId="14" fontId="5" fillId="0" borderId="1" xfId="1" applyNumberFormat="1" applyFont="1" applyBorder="1" applyAlignment="1">
      <alignment horizontal="center"/>
    </xf>
    <xf numFmtId="14" fontId="40" fillId="0" borderId="1" xfId="1" applyNumberFormat="1" applyFont="1" applyBorder="1" applyAlignment="1">
      <alignment horizontal="center"/>
    </xf>
    <xf numFmtId="14" fontId="9" fillId="0" borderId="1" xfId="1" applyNumberFormat="1" applyFont="1" applyBorder="1" applyAlignment="1">
      <alignment horizontal="center"/>
    </xf>
    <xf numFmtId="14" fontId="5" fillId="0" borderId="10" xfId="1" applyNumberFormat="1" applyFont="1" applyBorder="1" applyAlignment="1">
      <alignment horizontal="center"/>
    </xf>
    <xf numFmtId="37" fontId="8" fillId="0" borderId="0" xfId="159" applyFont="1"/>
    <xf numFmtId="171" fontId="5" fillId="0" borderId="1" xfId="0" applyNumberFormat="1" applyFont="1" applyBorder="1" applyAlignment="1"/>
    <xf numFmtId="164" fontId="5" fillId="0" borderId="10" xfId="0" applyNumberFormat="1" applyFont="1" applyBorder="1" applyAlignment="1"/>
    <xf numFmtId="3" fontId="5" fillId="0" borderId="10" xfId="0" applyNumberFormat="1" applyFont="1" applyFill="1" applyBorder="1" applyAlignment="1"/>
    <xf numFmtId="171" fontId="5" fillId="0" borderId="10" xfId="1" applyNumberFormat="1" applyFont="1" applyBorder="1"/>
    <xf numFmtId="171" fontId="5" fillId="0" borderId="1" xfId="1" applyNumberFormat="1" applyFont="1" applyBorder="1" applyAlignment="1">
      <alignment horizontal="right"/>
    </xf>
    <xf numFmtId="171" fontId="5" fillId="0" borderId="10" xfId="1" applyNumberFormat="1" applyFont="1" applyBorder="1" applyAlignment="1">
      <alignment horizontal="right"/>
    </xf>
    <xf numFmtId="49" fontId="5" fillId="0" borderId="10" xfId="159" applyNumberFormat="1" applyFont="1" applyBorder="1" applyAlignment="1">
      <alignment horizontal="center" shrinkToFit="1"/>
    </xf>
    <xf numFmtId="49" fontId="9" fillId="3" borderId="1" xfId="159" applyNumberFormat="1" applyFont="1" applyFill="1" applyBorder="1" applyAlignment="1">
      <alignment horizontal="center"/>
    </xf>
    <xf numFmtId="171" fontId="9" fillId="0" borderId="10" xfId="0" applyNumberFormat="1" applyFont="1" applyBorder="1" applyAlignment="1"/>
    <xf numFmtId="3" fontId="9" fillId="0" borderId="10" xfId="0" applyNumberFormat="1" applyFont="1" applyFill="1" applyBorder="1" applyAlignment="1"/>
    <xf numFmtId="49" fontId="40" fillId="0" borderId="10" xfId="159" applyNumberFormat="1" applyFont="1" applyBorder="1" applyAlignment="1">
      <alignment horizontal="center"/>
    </xf>
    <xf numFmtId="171" fontId="5" fillId="0" borderId="1" xfId="0" applyNumberFormat="1" applyFont="1" applyBorder="1" applyAlignment="1">
      <alignment horizontal="right"/>
    </xf>
    <xf numFmtId="3" fontId="5" fillId="0" borderId="1" xfId="0" applyNumberFormat="1" applyFont="1" applyFill="1" applyBorder="1" applyAlignment="1">
      <alignment horizontal="right"/>
    </xf>
    <xf numFmtId="171" fontId="5" fillId="0" borderId="1" xfId="1" applyNumberFormat="1" applyFont="1" applyBorder="1"/>
    <xf numFmtId="171" fontId="5" fillId="0" borderId="10" xfId="0" applyNumberFormat="1" applyFont="1" applyBorder="1" applyAlignment="1"/>
    <xf numFmtId="171" fontId="5" fillId="0" borderId="1" xfId="159" applyNumberFormat="1" applyFont="1" applyBorder="1" applyAlignment="1">
      <alignment horizontal="right"/>
    </xf>
    <xf numFmtId="171" fontId="5" fillId="0" borderId="1" xfId="159" applyNumberFormat="1" applyFont="1" applyBorder="1"/>
    <xf numFmtId="37" fontId="5" fillId="4" borderId="5" xfId="0" applyFont="1" applyFill="1" applyBorder="1" applyAlignment="1">
      <alignment horizontal="center" vertical="center"/>
    </xf>
    <xf numFmtId="37" fontId="7" fillId="4" borderId="34" xfId="0" applyFont="1" applyFill="1" applyBorder="1" applyAlignment="1">
      <alignment horizontal="center" vertical="center"/>
    </xf>
    <xf numFmtId="37" fontId="7" fillId="4" borderId="21" xfId="0" applyFont="1" applyFill="1" applyBorder="1" applyAlignment="1">
      <alignment horizontal="center" vertical="center"/>
    </xf>
    <xf numFmtId="37" fontId="7" fillId="4" borderId="30" xfId="0" applyFont="1" applyFill="1" applyBorder="1" applyAlignment="1">
      <alignment horizontal="center" vertical="center"/>
    </xf>
    <xf numFmtId="37" fontId="8" fillId="0" borderId="0" xfId="3" applyFont="1" applyAlignment="1">
      <alignment horizontal="left"/>
    </xf>
  </cellXfs>
  <cellStyles count="160">
    <cellStyle name="20% - Accent1 2" xfId="90" xr:uid="{00000000-0005-0000-0000-000000000000}"/>
    <cellStyle name="20% - Accent2 2" xfId="91" xr:uid="{00000000-0005-0000-0000-000001000000}"/>
    <cellStyle name="20% - Accent3 2" xfId="92" xr:uid="{00000000-0005-0000-0000-000002000000}"/>
    <cellStyle name="20% - Accent4 2" xfId="93" xr:uid="{00000000-0005-0000-0000-000003000000}"/>
    <cellStyle name="20% - Accent5 2" xfId="94" xr:uid="{00000000-0005-0000-0000-000004000000}"/>
    <cellStyle name="20% - Accent6 2" xfId="95" xr:uid="{00000000-0005-0000-0000-000005000000}"/>
    <cellStyle name="40% - Accent1 2" xfId="96" xr:uid="{00000000-0005-0000-0000-000006000000}"/>
    <cellStyle name="40% - Accent2 2" xfId="97" xr:uid="{00000000-0005-0000-0000-000007000000}"/>
    <cellStyle name="40% - Accent3 2" xfId="98" xr:uid="{00000000-0005-0000-0000-000008000000}"/>
    <cellStyle name="40% - Accent4 2" xfId="99" xr:uid="{00000000-0005-0000-0000-000009000000}"/>
    <cellStyle name="40% - Accent5 2" xfId="100" xr:uid="{00000000-0005-0000-0000-00000A000000}"/>
    <cellStyle name="40% - Accent6 2" xfId="101" xr:uid="{00000000-0005-0000-0000-00000B000000}"/>
    <cellStyle name="60% - Accent1 2" xfId="102" xr:uid="{00000000-0005-0000-0000-00000C000000}"/>
    <cellStyle name="60% - Accent2 2" xfId="103" xr:uid="{00000000-0005-0000-0000-00000D000000}"/>
    <cellStyle name="60% - Accent3 2" xfId="104" xr:uid="{00000000-0005-0000-0000-00000E000000}"/>
    <cellStyle name="60% - Accent4 2" xfId="105" xr:uid="{00000000-0005-0000-0000-00000F000000}"/>
    <cellStyle name="60% - Accent5 2" xfId="106" xr:uid="{00000000-0005-0000-0000-000010000000}"/>
    <cellStyle name="60% - Accent6 2" xfId="107" xr:uid="{00000000-0005-0000-0000-000011000000}"/>
    <cellStyle name="Accent1 2" xfId="108" xr:uid="{00000000-0005-0000-0000-000012000000}"/>
    <cellStyle name="Accent2 2" xfId="109" xr:uid="{00000000-0005-0000-0000-000013000000}"/>
    <cellStyle name="Accent3 2" xfId="110" xr:uid="{00000000-0005-0000-0000-000014000000}"/>
    <cellStyle name="Accent4 2" xfId="111" xr:uid="{00000000-0005-0000-0000-000015000000}"/>
    <cellStyle name="Accent5 2" xfId="112" xr:uid="{00000000-0005-0000-0000-000016000000}"/>
    <cellStyle name="Accent6 2" xfId="113" xr:uid="{00000000-0005-0000-0000-000017000000}"/>
    <cellStyle name="Bad 2" xfId="114" xr:uid="{00000000-0005-0000-0000-000018000000}"/>
    <cellStyle name="Calculation 2" xfId="115" xr:uid="{00000000-0005-0000-0000-000019000000}"/>
    <cellStyle name="Check Cell 2" xfId="116" xr:uid="{00000000-0005-0000-0000-00001A000000}"/>
    <cellStyle name="Comma" xfId="1" builtinId="3"/>
    <cellStyle name="Comma 2" xfId="89" xr:uid="{00000000-0005-0000-0000-00001C000000}"/>
    <cellStyle name="Currency 2" xfId="117" xr:uid="{00000000-0005-0000-0000-00001E000000}"/>
    <cellStyle name="Date" xfId="118" xr:uid="{00000000-0005-0000-0000-00001F000000}"/>
    <cellStyle name="Explanatory Text 2" xfId="119" xr:uid="{00000000-0005-0000-0000-000020000000}"/>
    <cellStyle name="F2" xfId="120" xr:uid="{00000000-0005-0000-0000-000021000000}"/>
    <cellStyle name="F3" xfId="121" xr:uid="{00000000-0005-0000-0000-000022000000}"/>
    <cellStyle name="F4" xfId="122" xr:uid="{00000000-0005-0000-0000-000023000000}"/>
    <cellStyle name="F5" xfId="123" xr:uid="{00000000-0005-0000-0000-000024000000}"/>
    <cellStyle name="F6" xfId="124" xr:uid="{00000000-0005-0000-0000-000025000000}"/>
    <cellStyle name="F7" xfId="125" xr:uid="{00000000-0005-0000-0000-000026000000}"/>
    <cellStyle name="F8" xfId="126" xr:uid="{00000000-0005-0000-0000-000027000000}"/>
    <cellStyle name="Fixed" xfId="127" xr:uid="{00000000-0005-0000-0000-000028000000}"/>
    <cellStyle name="Followed Hyperlink" xfId="53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69" builtinId="9" hidden="1"/>
    <cellStyle name="Followed Hyperlink" xfId="67" builtinId="9" hidden="1"/>
    <cellStyle name="Followed Hyperlink" xfId="71" builtinId="9" hidden="1"/>
    <cellStyle name="Followed Hyperlink" xfId="75" builtinId="9" hidden="1"/>
    <cellStyle name="Followed Hyperlink" xfId="73" builtinId="9" hidden="1"/>
    <cellStyle name="Followed Hyperlink" xfId="59" builtinId="9" hidden="1"/>
    <cellStyle name="Followed Hyperlink" xfId="63" builtinId="9" hidden="1"/>
    <cellStyle name="Followed Hyperlink" xfId="55" builtinId="9" hidden="1"/>
    <cellStyle name="Followed Hyperlink" xfId="57" builtinId="9" hidden="1"/>
    <cellStyle name="Followed Hyperlink" xfId="79" builtinId="9" hidden="1"/>
    <cellStyle name="Followed Hyperlink" xfId="65" builtinId="9" hidden="1"/>
    <cellStyle name="Followed Hyperlink" xfId="31" builtinId="9" hidden="1"/>
    <cellStyle name="Followed Hyperlink" xfId="61" builtinId="9" hidden="1"/>
    <cellStyle name="Followed Hyperlink" xfId="11" builtinId="9" hidden="1"/>
    <cellStyle name="Followed Hyperlink" xfId="13" builtinId="9" hidden="1"/>
    <cellStyle name="Followed Hyperlink" xfId="7" builtinId="9" hidden="1"/>
    <cellStyle name="Followed Hyperlink" xfId="9" builtinId="9" hidden="1"/>
    <cellStyle name="Followed Hyperlink" xfId="25" builtinId="9" hidden="1"/>
    <cellStyle name="Followed Hyperlink" xfId="47" builtinId="9" hidden="1"/>
    <cellStyle name="Followed Hyperlink" xfId="39" builtinId="9" hidden="1"/>
    <cellStyle name="Followed Hyperlink" xfId="81" builtinId="9" hidden="1"/>
    <cellStyle name="Followed Hyperlink" xfId="83" builtinId="9" hidden="1"/>
    <cellStyle name="Followed Hyperlink" xfId="87" builtinId="9" hidden="1"/>
    <cellStyle name="Followed Hyperlink" xfId="85" builtinId="9" hidden="1"/>
    <cellStyle name="Followed Hyperlink" xfId="77" builtinId="9" hidden="1"/>
    <cellStyle name="Followed Hyperlink" xfId="15" builtinId="9" hidden="1"/>
    <cellStyle name="Followed Hyperlink" xfId="51" builtinId="9" hidden="1"/>
    <cellStyle name="Followed Hyperlink" xfId="37" builtinId="9" hidden="1"/>
    <cellStyle name="Followed Hyperlink" xfId="17" builtinId="9" hidden="1"/>
    <cellStyle name="Followed Hyperlink" xfId="23" builtinId="9" hidden="1"/>
    <cellStyle name="Followed Hyperlink" xfId="21" builtinId="9" hidden="1"/>
    <cellStyle name="Followed Hyperlink" xfId="19" builtinId="9" hidden="1"/>
    <cellStyle name="Followed Hyperlink" xfId="45" builtinId="9" hidden="1"/>
    <cellStyle name="Followed Hyperlink" xfId="49" builtinId="9" hidden="1"/>
    <cellStyle name="Followed Hyperlink" xfId="43" builtinId="9" hidden="1"/>
    <cellStyle name="Followed Hyperlink" xfId="41" builtinId="9" hidden="1"/>
    <cellStyle name="Good 2" xfId="128" xr:uid="{00000000-0005-0000-0000-000052000000}"/>
    <cellStyle name="Heading 1 2" xfId="129" xr:uid="{00000000-0005-0000-0000-000053000000}"/>
    <cellStyle name="Heading 2 2" xfId="130" xr:uid="{00000000-0005-0000-0000-000054000000}"/>
    <cellStyle name="Heading 3 2" xfId="131" xr:uid="{00000000-0005-0000-0000-000055000000}"/>
    <cellStyle name="Heading 4 2" xfId="132" xr:uid="{00000000-0005-0000-0000-000056000000}"/>
    <cellStyle name="Heading1" xfId="133" xr:uid="{00000000-0005-0000-0000-000057000000}"/>
    <cellStyle name="Heading2" xfId="134" xr:uid="{00000000-0005-0000-0000-000058000000}"/>
    <cellStyle name="Hyperlink" xfId="12" builtinId="8" hidden="1"/>
    <cellStyle name="Hyperlink" xfId="8" builtinId="8" hidden="1"/>
    <cellStyle name="Hyperlink" xfId="6" builtinId="8" hidden="1"/>
    <cellStyle name="Hyperlink" xfId="14" builtinId="8" hidden="1"/>
    <cellStyle name="Hyperlink" xfId="24" builtinId="8" hidden="1"/>
    <cellStyle name="Hyperlink" xfId="80" builtinId="8" hidden="1"/>
    <cellStyle name="Hyperlink" xfId="60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4" builtinId="8" hidden="1"/>
    <cellStyle name="Hyperlink" xfId="76" builtinId="8" hidden="1"/>
    <cellStyle name="Hyperlink" xfId="78" builtinId="8" hidden="1"/>
    <cellStyle name="Hyperlink" xfId="52" builtinId="8" hidden="1"/>
    <cellStyle name="Hyperlink" xfId="54" builtinId="8" hidden="1"/>
    <cellStyle name="Hyperlink" xfId="58" builtinId="8" hidden="1"/>
    <cellStyle name="Hyperlink" xfId="46" builtinId="8" hidden="1"/>
    <cellStyle name="Hyperlink" xfId="48" builtinId="8" hidden="1"/>
    <cellStyle name="Hyperlink" xfId="44" builtinId="8" hidden="1"/>
    <cellStyle name="Hyperlink" xfId="42" builtinId="8" hidden="1"/>
    <cellStyle name="Hyperlink" xfId="50" builtinId="8" hidden="1"/>
    <cellStyle name="Hyperlink" xfId="62" builtinId="8" hidden="1"/>
    <cellStyle name="Hyperlink" xfId="10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16" builtinId="8" hidden="1"/>
    <cellStyle name="Hyperlink" xfId="18" builtinId="8" hidden="1"/>
    <cellStyle name="Hyperlink" xfId="20" builtinId="8" hidden="1"/>
    <cellStyle name="Hyperlink" xfId="56" builtinId="8" hidden="1"/>
    <cellStyle name="Hyperlink" xfId="40" builtinId="8" hidden="1"/>
    <cellStyle name="Hyperlink" xfId="22" builtinId="8" hidden="1"/>
    <cellStyle name="Hyperlink" xfId="26" builtinId="8" hidden="1"/>
    <cellStyle name="Hyperlink" xfId="86" builtinId="8" hidden="1"/>
    <cellStyle name="Hyperlink" xfId="72" builtinId="8" hidden="1"/>
    <cellStyle name="Hyperlink" xfId="84" builtinId="8" hidden="1"/>
    <cellStyle name="Hyperlink" xfId="82" builtinId="8" hidden="1"/>
    <cellStyle name="Input 2" xfId="135" xr:uid="{00000000-0005-0000-0000-000082000000}"/>
    <cellStyle name="Linked Cell 2" xfId="136" xr:uid="{00000000-0005-0000-0000-000083000000}"/>
    <cellStyle name="Neutral 2" xfId="137" xr:uid="{00000000-0005-0000-0000-000084000000}"/>
    <cellStyle name="Normal" xfId="0" builtinId="0"/>
    <cellStyle name="Normal 10" xfId="138" xr:uid="{00000000-0005-0000-0000-000086000000}"/>
    <cellStyle name="Normal 11" xfId="139" xr:uid="{00000000-0005-0000-0000-000087000000}"/>
    <cellStyle name="Normal 12" xfId="140" xr:uid="{00000000-0005-0000-0000-000088000000}"/>
    <cellStyle name="Normal 13" xfId="155" xr:uid="{00000000-0005-0000-0000-000089000000}"/>
    <cellStyle name="Normal 14" xfId="156" xr:uid="{00000000-0005-0000-0000-00008A000000}"/>
    <cellStyle name="Normal 2" xfId="2" xr:uid="{00000000-0005-0000-0000-00008B000000}"/>
    <cellStyle name="Normal 3" xfId="5" xr:uid="{00000000-0005-0000-0000-00008C000000}"/>
    <cellStyle name="Normal 4" xfId="88" xr:uid="{00000000-0005-0000-0000-00008D000000}"/>
    <cellStyle name="Normal 5" xfId="141" xr:uid="{00000000-0005-0000-0000-00008E000000}"/>
    <cellStyle name="Normal 6" xfId="142" xr:uid="{00000000-0005-0000-0000-00008F000000}"/>
    <cellStyle name="Normal 6 2" xfId="157" xr:uid="{00000000-0005-0000-0000-000090000000}"/>
    <cellStyle name="Normal 7" xfId="143" xr:uid="{00000000-0005-0000-0000-000091000000}"/>
    <cellStyle name="Normal 7 2" xfId="144" xr:uid="{00000000-0005-0000-0000-000092000000}"/>
    <cellStyle name="Normal 7_FY2012 DPH Budget sample 3-30-11 (2)(1)" xfId="145" xr:uid="{00000000-0005-0000-0000-000093000000}"/>
    <cellStyle name="Normal 8" xfId="146" xr:uid="{00000000-0005-0000-0000-000094000000}"/>
    <cellStyle name="Normal 8 2" xfId="158" xr:uid="{6C6F1CA4-6E43-4C8A-87AA-B5D2ACE14245}"/>
    <cellStyle name="Normal 9" xfId="147" xr:uid="{00000000-0005-0000-0000-000095000000}"/>
    <cellStyle name="Normal_05 DSC Proposed Staffing Pattern (061604)" xfId="159" xr:uid="{9BF4FA47-BF1D-44BF-8EC4-2AC81AFFFDAF}"/>
    <cellStyle name="Normal_07PH-(Revised)StaffingPatternFed-Match_FY_2012_BBMR_SP-1_FORM_(FY12_PROPOSED_with_Summary_Page) DGA" xfId="4" xr:uid="{00000000-0005-0000-0000-000098000000}"/>
    <cellStyle name="Normal_FY_2012_BBMR_SP-1_FORM_(FY12_PROPOSED_with_Summary_Page) DGA" xfId="3" xr:uid="{00000000-0005-0000-0000-00009B000000}"/>
    <cellStyle name="Note 2" xfId="148" xr:uid="{00000000-0005-0000-0000-0000A2000000}"/>
    <cellStyle name="Output 2" xfId="149" xr:uid="{00000000-0005-0000-0000-0000A3000000}"/>
    <cellStyle name="Percent 2" xfId="150" xr:uid="{00000000-0005-0000-0000-0000A5000000}"/>
    <cellStyle name="Percent 3" xfId="151" xr:uid="{00000000-0005-0000-0000-0000A6000000}"/>
    <cellStyle name="Title 2" xfId="152" xr:uid="{00000000-0005-0000-0000-0000A7000000}"/>
    <cellStyle name="Total 2" xfId="153" xr:uid="{00000000-0005-0000-0000-0000A8000000}"/>
    <cellStyle name="Warning Text 2" xfId="154" xr:uid="{00000000-0005-0000-0000-0000A9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cserver\clerical%20request\ASU\ASU%202005\Tommy%20AO\2005%20Budget%20&amp;%20Program%20Info\2005%20Ledgers%20and%20Requisition%20Log\FY%2005%20Obj%20Class%20Ledge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dger SUMMARY"/>
      <sheetName val="SAA"/>
      <sheetName val="APS"/>
      <sheetName val="MYM"/>
      <sheetName val="SOA"/>
      <sheetName val="IIIB"/>
      <sheetName val="IIIC1"/>
      <sheetName val="IIIC2"/>
      <sheetName val="NSIP"/>
      <sheetName val="IIID"/>
      <sheetName val="IIIE"/>
      <sheetName val="VII"/>
      <sheetName val="SHIP"/>
      <sheetName val="Programs"/>
      <sheetName val="05 Budget SUMMARY"/>
      <sheetName val="FY05 Requisitions"/>
      <sheetName val="SHIP 04"/>
      <sheetName val="SHIP 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6" tint="0.79998168889431442"/>
    <pageSetUpPr fitToPage="1"/>
  </sheetPr>
  <dimension ref="A1:BV121"/>
  <sheetViews>
    <sheetView tabSelected="1" view="pageBreakPreview" zoomScale="145" zoomScaleNormal="145" zoomScaleSheetLayoutView="145" zoomScalePageLayoutView="50" workbookViewId="0">
      <selection activeCell="D2" sqref="D2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8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162" t="s">
        <v>1</v>
      </c>
      <c r="B2" s="162"/>
      <c r="C2" s="162"/>
      <c r="D2" s="112" t="s">
        <v>160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5"/>
      <c r="B3" s="65"/>
      <c r="C3" s="65"/>
      <c r="D3" s="11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162" t="s">
        <v>2</v>
      </c>
      <c r="B4" s="162"/>
      <c r="C4" s="162"/>
      <c r="D4" s="112" t="s">
        <v>3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5"/>
      <c r="B5" s="65"/>
      <c r="C5" s="65"/>
      <c r="D5" s="11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162" t="s">
        <v>4</v>
      </c>
      <c r="B6" s="162"/>
      <c r="C6" s="65"/>
      <c r="D6" s="112" t="s">
        <v>5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5"/>
      <c r="B7" s="65"/>
      <c r="C7" s="65"/>
      <c r="D7" s="112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162" t="s">
        <v>6</v>
      </c>
      <c r="B8" s="162"/>
      <c r="D8" s="112" t="s">
        <v>7</v>
      </c>
      <c r="E8" s="112" t="s">
        <v>8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140" t="s">
        <v>9</v>
      </c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10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10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11</v>
      </c>
      <c r="C13" s="44" t="s">
        <v>12</v>
      </c>
      <c r="D13" s="4" t="s">
        <v>13</v>
      </c>
      <c r="E13" s="44" t="s">
        <v>14</v>
      </c>
      <c r="F13" s="4" t="s">
        <v>15</v>
      </c>
      <c r="G13" s="31" t="s">
        <v>16</v>
      </c>
      <c r="H13" s="31" t="s">
        <v>17</v>
      </c>
      <c r="I13" s="31" t="s">
        <v>18</v>
      </c>
      <c r="J13" s="58" t="s">
        <v>19</v>
      </c>
      <c r="K13" s="44" t="s">
        <v>20</v>
      </c>
      <c r="L13" s="44" t="s">
        <v>21</v>
      </c>
      <c r="M13" s="4" t="s">
        <v>22</v>
      </c>
      <c r="N13" s="4" t="s">
        <v>23</v>
      </c>
      <c r="O13" s="4" t="s">
        <v>24</v>
      </c>
      <c r="P13" s="4" t="s">
        <v>25</v>
      </c>
      <c r="Q13" s="45" t="s">
        <v>26</v>
      </c>
      <c r="R13" s="58" t="s">
        <v>27</v>
      </c>
      <c r="S13" s="45" t="s">
        <v>28</v>
      </c>
      <c r="T13" s="17" t="s">
        <v>29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9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158" t="s">
        <v>30</v>
      </c>
      <c r="J14" s="159"/>
      <c r="K14" s="21" t="s">
        <v>0</v>
      </c>
      <c r="L14" s="19"/>
      <c r="M14" s="21"/>
      <c r="N14" s="21"/>
      <c r="O14" s="21" t="s">
        <v>31</v>
      </c>
      <c r="P14" s="21"/>
      <c r="Q14" s="46"/>
      <c r="R14" s="47"/>
      <c r="S14" s="22"/>
      <c r="T14" s="22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3"/>
      <c r="B15" s="36" t="s">
        <v>32</v>
      </c>
      <c r="C15" s="37" t="s">
        <v>32</v>
      </c>
      <c r="D15" s="37" t="s">
        <v>33</v>
      </c>
      <c r="E15" s="37" t="s">
        <v>34</v>
      </c>
      <c r="F15" s="37" t="s">
        <v>0</v>
      </c>
      <c r="G15" s="37"/>
      <c r="H15" s="37" t="s">
        <v>0</v>
      </c>
      <c r="I15" s="160"/>
      <c r="J15" s="161"/>
      <c r="K15" s="24" t="s">
        <v>35</v>
      </c>
      <c r="L15" s="20" t="s">
        <v>36</v>
      </c>
      <c r="M15" s="20" t="s">
        <v>37</v>
      </c>
      <c r="N15" s="20" t="s">
        <v>38</v>
      </c>
      <c r="O15" s="20" t="s">
        <v>39</v>
      </c>
      <c r="P15" s="19" t="s">
        <v>40</v>
      </c>
      <c r="Q15" s="34" t="s">
        <v>41</v>
      </c>
      <c r="R15" s="48" t="s">
        <v>42</v>
      </c>
      <c r="S15" s="22" t="s">
        <v>43</v>
      </c>
      <c r="T15" s="25" t="s">
        <v>44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6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57" t="s">
        <v>54</v>
      </c>
      <c r="K16" s="30" t="s">
        <v>55</v>
      </c>
      <c r="L16" s="71" t="s">
        <v>56</v>
      </c>
      <c r="M16" s="27" t="s">
        <v>57</v>
      </c>
      <c r="N16" s="27" t="s">
        <v>58</v>
      </c>
      <c r="O16" s="27" t="s">
        <v>59</v>
      </c>
      <c r="P16" s="29" t="s">
        <v>60</v>
      </c>
      <c r="Q16" s="43" t="s">
        <v>61</v>
      </c>
      <c r="R16" s="49" t="s">
        <v>61</v>
      </c>
      <c r="S16" s="30" t="s">
        <v>62</v>
      </c>
      <c r="T16" s="27" t="s">
        <v>63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113">
        <v>6600</v>
      </c>
      <c r="C17" s="147" t="s">
        <v>64</v>
      </c>
      <c r="D17" s="115" t="s">
        <v>65</v>
      </c>
      <c r="E17" s="115" t="s">
        <v>66</v>
      </c>
      <c r="F17" s="144">
        <v>65350</v>
      </c>
      <c r="G17" s="141">
        <v>0</v>
      </c>
      <c r="H17" s="142">
        <f>+L58</f>
        <v>0</v>
      </c>
      <c r="I17" s="136">
        <v>45850</v>
      </c>
      <c r="J17" s="144">
        <f>ROUND((779*0.676),0)</f>
        <v>527</v>
      </c>
      <c r="K17" s="144">
        <f>(+F17+G17+H17+J17)</f>
        <v>65877</v>
      </c>
      <c r="L17" s="145">
        <f>+ROUND((K17*0.3077),0)</f>
        <v>20270</v>
      </c>
      <c r="M17" s="144">
        <v>335</v>
      </c>
      <c r="N17" s="145">
        <v>0</v>
      </c>
      <c r="O17" s="145">
        <f t="shared" ref="O17:O19" si="0">ROUND((K17*0.0145),0)</f>
        <v>955</v>
      </c>
      <c r="P17" s="145">
        <v>126</v>
      </c>
      <c r="Q17" s="146">
        <v>2700</v>
      </c>
      <c r="R17" s="146">
        <v>201</v>
      </c>
      <c r="S17" s="145">
        <f t="shared" ref="S17:S19" si="1">+L17+M17+N17+O17+P17+Q17+R17</f>
        <v>24587</v>
      </c>
      <c r="T17" s="145">
        <f>+K17+S17</f>
        <v>90464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2">A17+1</f>
        <v>2</v>
      </c>
      <c r="B18" s="116">
        <v>6501</v>
      </c>
      <c r="C18" s="117" t="s">
        <v>67</v>
      </c>
      <c r="D18" s="148" t="s">
        <v>68</v>
      </c>
      <c r="E18" s="117" t="s">
        <v>69</v>
      </c>
      <c r="F18" s="133">
        <v>58300</v>
      </c>
      <c r="G18" s="143">
        <v>0</v>
      </c>
      <c r="H18" s="143">
        <f>+L60</f>
        <v>0</v>
      </c>
      <c r="I18" s="136">
        <v>45736</v>
      </c>
      <c r="J18" s="130">
        <f>ROUND((1622*0.676),0)</f>
        <v>1096</v>
      </c>
      <c r="K18" s="132">
        <f t="shared" ref="K18:K19" si="3">(+F18+G18+H18+J18)</f>
        <v>59396</v>
      </c>
      <c r="L18" s="132">
        <f>+ROUND((K18*0.3077),0)</f>
        <v>18276</v>
      </c>
      <c r="M18" s="132">
        <v>335</v>
      </c>
      <c r="N18" s="143">
        <v>0</v>
      </c>
      <c r="O18" s="132">
        <f t="shared" si="0"/>
        <v>861</v>
      </c>
      <c r="P18" s="132">
        <v>126</v>
      </c>
      <c r="Q18" s="132">
        <v>2700</v>
      </c>
      <c r="R18" s="132">
        <v>201</v>
      </c>
      <c r="S18" s="132">
        <f t="shared" si="1"/>
        <v>22499</v>
      </c>
      <c r="T18" s="132">
        <f>+K18+S18</f>
        <v>81895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2"/>
        <v>3</v>
      </c>
      <c r="B19" s="116">
        <v>6601</v>
      </c>
      <c r="C19" s="115" t="s">
        <v>70</v>
      </c>
      <c r="D19" s="148" t="s">
        <v>71</v>
      </c>
      <c r="E19" s="117" t="s">
        <v>72</v>
      </c>
      <c r="F19" s="133">
        <v>41152</v>
      </c>
      <c r="G19" s="143">
        <v>0</v>
      </c>
      <c r="H19" s="143">
        <f>+L61</f>
        <v>0</v>
      </c>
      <c r="I19" s="136">
        <v>45825</v>
      </c>
      <c r="J19" s="130">
        <f>ROUND((654*0.676),0)</f>
        <v>442</v>
      </c>
      <c r="K19" s="132">
        <f t="shared" si="3"/>
        <v>41594</v>
      </c>
      <c r="L19" s="132">
        <f t="shared" ref="L19" si="4">+ROUND((K19*0.3077),0)</f>
        <v>12798</v>
      </c>
      <c r="M19" s="143">
        <v>0</v>
      </c>
      <c r="N19" s="143">
        <v>0</v>
      </c>
      <c r="O19" s="132">
        <f t="shared" si="0"/>
        <v>603</v>
      </c>
      <c r="P19" s="132">
        <v>126</v>
      </c>
      <c r="Q19" s="132">
        <v>4684</v>
      </c>
      <c r="R19" s="132">
        <v>266</v>
      </c>
      <c r="S19" s="132">
        <f t="shared" si="1"/>
        <v>18477</v>
      </c>
      <c r="T19" s="132">
        <f t="shared" ref="T19" si="5">+K19+S19</f>
        <v>60071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2"/>
        <v>4</v>
      </c>
      <c r="B20" s="68"/>
      <c r="C20" s="67"/>
      <c r="D20" s="69"/>
      <c r="E20" s="69"/>
      <c r="F20" s="7"/>
      <c r="G20" s="7"/>
      <c r="H20" s="64"/>
      <c r="I20" s="8"/>
      <c r="J20" s="32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2"/>
        <v>5</v>
      </c>
      <c r="B21" s="68"/>
      <c r="C21" s="67"/>
      <c r="D21" s="69"/>
      <c r="E21" s="69"/>
      <c r="F21" s="7"/>
      <c r="G21" s="7"/>
      <c r="H21" s="64"/>
      <c r="I21" s="85"/>
      <c r="J21" s="86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2"/>
        <v>6</v>
      </c>
      <c r="B22" s="68"/>
      <c r="C22" s="67"/>
      <c r="D22" s="69"/>
      <c r="E22" s="69"/>
      <c r="F22" s="7"/>
      <c r="G22" s="7"/>
      <c r="H22" s="64"/>
      <c r="I22" s="87"/>
      <c r="J22" s="88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3">
        <f t="shared" si="2"/>
        <v>7</v>
      </c>
      <c r="B23" s="76"/>
      <c r="C23" s="80"/>
      <c r="D23" s="69"/>
      <c r="E23" s="69"/>
      <c r="F23" s="74"/>
      <c r="G23" s="74"/>
      <c r="H23" s="64"/>
      <c r="I23" s="89"/>
      <c r="J23" s="90"/>
      <c r="K23" s="75"/>
      <c r="L23" s="15"/>
      <c r="M23" s="15"/>
      <c r="N23" s="75"/>
      <c r="O23" s="75"/>
      <c r="P23" s="15"/>
      <c r="Q23" s="15"/>
      <c r="R23" s="15"/>
      <c r="S23" s="75"/>
      <c r="T23" s="75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3">
        <f t="shared" si="2"/>
        <v>8</v>
      </c>
      <c r="B24" s="79"/>
      <c r="C24" s="82"/>
      <c r="D24" s="83"/>
      <c r="E24" s="69"/>
      <c r="F24" s="74"/>
      <c r="G24" s="74"/>
      <c r="H24" s="64"/>
      <c r="I24" s="89"/>
      <c r="J24" s="90"/>
      <c r="K24" s="75"/>
      <c r="L24" s="15"/>
      <c r="M24" s="15"/>
      <c r="N24" s="75"/>
      <c r="O24" s="75"/>
      <c r="P24" s="15"/>
      <c r="Q24" s="15"/>
      <c r="R24" s="15"/>
      <c r="S24" s="75"/>
      <c r="T24" s="75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3">
        <f t="shared" si="2"/>
        <v>9</v>
      </c>
      <c r="B25" s="76"/>
      <c r="C25" s="80"/>
      <c r="D25" s="81"/>
      <c r="E25" s="78"/>
      <c r="F25" s="74"/>
      <c r="G25" s="74"/>
      <c r="H25" s="64"/>
      <c r="I25" s="89"/>
      <c r="J25" s="90"/>
      <c r="K25" s="75"/>
      <c r="L25" s="15"/>
      <c r="M25" s="15"/>
      <c r="N25" s="75"/>
      <c r="O25" s="75"/>
      <c r="P25" s="15"/>
      <c r="Q25" s="15"/>
      <c r="R25" s="15"/>
      <c r="S25" s="75"/>
      <c r="T25" s="7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2"/>
        <v>10</v>
      </c>
      <c r="B26" s="68"/>
      <c r="C26" s="67"/>
      <c r="D26" s="69"/>
      <c r="E26" s="69"/>
      <c r="F26" s="7"/>
      <c r="G26" s="7"/>
      <c r="H26" s="64"/>
      <c r="I26" s="87"/>
      <c r="J26" s="88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2"/>
        <v>11</v>
      </c>
      <c r="B27" s="68"/>
      <c r="C27" s="67"/>
      <c r="D27" s="69"/>
      <c r="E27" s="69"/>
      <c r="F27" s="7"/>
      <c r="G27" s="7"/>
      <c r="H27" s="64"/>
      <c r="I27" s="87"/>
      <c r="J27" s="88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2"/>
        <v>12</v>
      </c>
      <c r="B28" s="68"/>
      <c r="C28" s="67"/>
      <c r="D28" s="69"/>
      <c r="E28" s="69"/>
      <c r="F28" s="7"/>
      <c r="G28" s="7"/>
      <c r="H28" s="64"/>
      <c r="I28" s="87"/>
      <c r="J28" s="88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2"/>
        <v>13</v>
      </c>
      <c r="B29" s="68"/>
      <c r="C29" s="67"/>
      <c r="D29" s="69"/>
      <c r="E29" s="69"/>
      <c r="F29" s="7"/>
      <c r="G29" s="7"/>
      <c r="H29" s="64"/>
      <c r="I29" s="87"/>
      <c r="J29" s="88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2"/>
        <v>14</v>
      </c>
      <c r="B30" s="68"/>
      <c r="C30" s="84"/>
      <c r="D30" s="78"/>
      <c r="E30" s="77"/>
      <c r="F30" s="7"/>
      <c r="G30" s="74"/>
      <c r="H30" s="64"/>
      <c r="I30" s="89"/>
      <c r="J30" s="90"/>
      <c r="K30" s="75"/>
      <c r="L30" s="15"/>
      <c r="M30" s="91"/>
      <c r="N30" s="75"/>
      <c r="O30" s="75"/>
      <c r="P30" s="75"/>
      <c r="Q30" s="92"/>
      <c r="R30" s="92"/>
      <c r="S30" s="75"/>
      <c r="T30" s="7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2"/>
        <v>15</v>
      </c>
      <c r="B31" s="6"/>
      <c r="C31" s="51"/>
      <c r="D31" s="51"/>
      <c r="E31" s="51"/>
      <c r="F31" s="7"/>
      <c r="G31" s="7"/>
      <c r="H31" s="64"/>
      <c r="I31" s="87"/>
      <c r="J31" s="88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2"/>
        <v>16</v>
      </c>
      <c r="B32" s="6"/>
      <c r="C32" s="51"/>
      <c r="D32" s="51"/>
      <c r="E32" s="51"/>
      <c r="F32" s="7"/>
      <c r="G32" s="7"/>
      <c r="H32" s="64"/>
      <c r="I32" s="8"/>
      <c r="J32" s="32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2"/>
        <v>17</v>
      </c>
      <c r="B33" s="6"/>
      <c r="C33" s="51"/>
      <c r="D33" s="51"/>
      <c r="E33" s="51"/>
      <c r="F33" s="7"/>
      <c r="G33" s="7"/>
      <c r="H33" s="64"/>
      <c r="I33" s="8"/>
      <c r="J33" s="32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2"/>
        <v>18</v>
      </c>
      <c r="B34" s="6"/>
      <c r="C34" s="51"/>
      <c r="D34" s="51"/>
      <c r="E34" s="51"/>
      <c r="F34" s="7"/>
      <c r="G34" s="7"/>
      <c r="H34" s="64"/>
      <c r="I34" s="8"/>
      <c r="J34" s="32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1"/>
      <c r="D35" s="51"/>
      <c r="E35" s="51"/>
      <c r="F35" s="7"/>
      <c r="G35" s="74"/>
      <c r="H35" s="64"/>
      <c r="I35" s="8"/>
      <c r="J35" s="32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1"/>
      <c r="D36" s="51"/>
      <c r="E36" s="51"/>
      <c r="F36" s="7"/>
      <c r="G36" s="7"/>
      <c r="H36" s="64"/>
      <c r="I36" s="8"/>
      <c r="J36" s="32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1"/>
      <c r="D37" s="51"/>
      <c r="E37" s="51"/>
      <c r="F37" s="7"/>
      <c r="G37" s="7"/>
      <c r="H37" s="64"/>
      <c r="I37" s="8"/>
      <c r="J37" s="32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"/>
      <c r="G38" s="7"/>
      <c r="H38" s="64"/>
      <c r="I38" s="8"/>
      <c r="J38" s="32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"/>
      <c r="G39" s="7"/>
      <c r="H39" s="64"/>
      <c r="I39" s="8"/>
      <c r="J39" s="32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"/>
      <c r="G40" s="74"/>
      <c r="H40" s="64"/>
      <c r="I40" s="8"/>
      <c r="J40" s="32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"/>
      <c r="G41" s="7"/>
      <c r="H41" s="64"/>
      <c r="I41" s="8"/>
      <c r="J41" s="32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73</v>
      </c>
      <c r="E42" s="13" t="s">
        <v>74</v>
      </c>
      <c r="F42" s="10">
        <f>SUM(F17:F41)</f>
        <v>164802</v>
      </c>
      <c r="G42" s="10">
        <f t="shared" ref="G42:H42" si="6">SUM(G17:G41)</f>
        <v>0</v>
      </c>
      <c r="H42" s="10">
        <f t="shared" si="6"/>
        <v>0</v>
      </c>
      <c r="I42" s="12" t="s">
        <v>74</v>
      </c>
      <c r="J42" s="10">
        <f>SUM(J17:J41)</f>
        <v>2065</v>
      </c>
      <c r="K42" s="10">
        <f t="shared" ref="K42:T42" si="7">SUM(K17:K41)</f>
        <v>166867</v>
      </c>
      <c r="L42" s="10">
        <f t="shared" si="7"/>
        <v>51344</v>
      </c>
      <c r="M42" s="10">
        <f t="shared" si="7"/>
        <v>670</v>
      </c>
      <c r="N42" s="10">
        <f t="shared" si="7"/>
        <v>0</v>
      </c>
      <c r="O42" s="10">
        <f t="shared" si="7"/>
        <v>2419</v>
      </c>
      <c r="P42" s="10">
        <f t="shared" si="7"/>
        <v>378</v>
      </c>
      <c r="Q42" s="10">
        <f t="shared" si="7"/>
        <v>10084</v>
      </c>
      <c r="R42" s="10">
        <f t="shared" si="7"/>
        <v>668</v>
      </c>
      <c r="S42" s="10">
        <f t="shared" si="7"/>
        <v>65563</v>
      </c>
      <c r="T42" s="10">
        <f t="shared" si="7"/>
        <v>232430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75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76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0" t="s">
        <v>77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0" t="s">
        <v>78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0" t="s">
        <v>79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3" t="s">
        <v>10</v>
      </c>
      <c r="C49" s="94"/>
      <c r="D49" s="94"/>
      <c r="E49" s="94"/>
      <c r="F49" s="94"/>
      <c r="G49" s="94"/>
      <c r="H49" s="94"/>
      <c r="I49" s="94"/>
      <c r="J49" s="95"/>
      <c r="K49" s="96"/>
      <c r="L49" s="97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8" t="s">
        <v>80</v>
      </c>
      <c r="C50" s="99"/>
      <c r="D50" s="99"/>
      <c r="E50" s="99"/>
      <c r="F50" s="99"/>
      <c r="G50" s="99"/>
      <c r="H50" s="99"/>
      <c r="I50" s="99"/>
      <c r="J50" s="99"/>
      <c r="K50" s="99"/>
      <c r="L50" s="100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1" t="s">
        <v>11</v>
      </c>
      <c r="C51" s="4" t="s">
        <v>12</v>
      </c>
      <c r="D51" s="4" t="s">
        <v>13</v>
      </c>
      <c r="E51" s="4" t="s">
        <v>14</v>
      </c>
      <c r="F51" s="4" t="s">
        <v>15</v>
      </c>
      <c r="G51" s="4" t="s">
        <v>16</v>
      </c>
      <c r="H51" s="4" t="s">
        <v>17</v>
      </c>
      <c r="I51" s="4" t="s">
        <v>18</v>
      </c>
      <c r="J51" s="4" t="s">
        <v>19</v>
      </c>
      <c r="K51" s="4" t="s">
        <v>20</v>
      </c>
      <c r="L51" s="102" t="s">
        <v>21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1"/>
      <c r="C52" s="44"/>
      <c r="D52" s="4"/>
      <c r="E52" s="44"/>
      <c r="F52" s="11" t="s">
        <v>81</v>
      </c>
      <c r="G52" s="62" t="s">
        <v>82</v>
      </c>
      <c r="H52" s="61" t="s">
        <v>83</v>
      </c>
      <c r="I52" s="61" t="s">
        <v>60</v>
      </c>
      <c r="J52" s="61" t="s">
        <v>84</v>
      </c>
      <c r="K52" s="61" t="s">
        <v>85</v>
      </c>
      <c r="L52" s="103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9"/>
      <c r="B53" s="104" t="s">
        <v>0</v>
      </c>
      <c r="C53" s="53"/>
      <c r="D53" s="35" t="s">
        <v>0</v>
      </c>
      <c r="E53" s="35" t="s">
        <v>86</v>
      </c>
      <c r="F53" s="59" t="s">
        <v>87</v>
      </c>
      <c r="G53" s="37"/>
      <c r="H53" s="37" t="s">
        <v>0</v>
      </c>
      <c r="I53" s="60" t="s">
        <v>88</v>
      </c>
      <c r="J53" s="37" t="s">
        <v>89</v>
      </c>
      <c r="K53" s="37" t="s">
        <v>90</v>
      </c>
      <c r="L53" s="105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3"/>
      <c r="B54" s="106" t="s">
        <v>32</v>
      </c>
      <c r="C54" s="37" t="s">
        <v>32</v>
      </c>
      <c r="D54" s="37" t="s">
        <v>33</v>
      </c>
      <c r="E54" s="37" t="s">
        <v>91</v>
      </c>
      <c r="F54" s="37" t="s">
        <v>91</v>
      </c>
      <c r="G54" s="37" t="s">
        <v>92</v>
      </c>
      <c r="H54" s="37" t="s">
        <v>92</v>
      </c>
      <c r="I54" s="37" t="s">
        <v>91</v>
      </c>
      <c r="J54" s="37" t="s">
        <v>91</v>
      </c>
      <c r="K54" s="37" t="s">
        <v>91</v>
      </c>
      <c r="L54" s="107" t="s">
        <v>93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6" t="s">
        <v>45</v>
      </c>
      <c r="B55" s="108" t="s">
        <v>46</v>
      </c>
      <c r="C55" s="109" t="s">
        <v>94</v>
      </c>
      <c r="D55" s="109" t="s">
        <v>48</v>
      </c>
      <c r="E55" s="109"/>
      <c r="F55" s="110" t="s">
        <v>95</v>
      </c>
      <c r="G55" s="110" t="s">
        <v>95</v>
      </c>
      <c r="H55" s="110" t="s">
        <v>96</v>
      </c>
      <c r="I55" s="110" t="s">
        <v>97</v>
      </c>
      <c r="J55" s="110" t="s">
        <v>97</v>
      </c>
      <c r="K55" s="110" t="s">
        <v>98</v>
      </c>
      <c r="L55" s="111" t="s">
        <v>55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0">
        <f t="shared" ref="B56:D58" si="8">+B17</f>
        <v>6600</v>
      </c>
      <c r="C56" s="50" t="str">
        <f t="shared" si="8"/>
        <v>SC Administrator ($96,671@ 67.6%)</v>
      </c>
      <c r="D56" s="50" t="str">
        <f t="shared" si="8"/>
        <v>San Nicolas, Charlene D. (7/12/21)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63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9">A56+1</f>
        <v>2</v>
      </c>
      <c r="B57" s="50">
        <f t="shared" si="8"/>
        <v>6501</v>
      </c>
      <c r="C57" s="50" t="str">
        <f t="shared" si="8"/>
        <v>SC Assistant Administrator ($86,243 @ 67.6%)</v>
      </c>
      <c r="D57" s="50" t="str">
        <f t="shared" si="8"/>
        <v>Palomo, Chad (03/20/22)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5">
        <f t="shared" ref="L57:L58" si="10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9"/>
        <v>3</v>
      </c>
      <c r="B58" s="50">
        <f t="shared" si="8"/>
        <v>6601</v>
      </c>
      <c r="C58" s="50" t="str">
        <f t="shared" si="8"/>
        <v>Management Analyst IV ($60,875 @ 67.6%)</v>
      </c>
      <c r="D58" s="50" t="str">
        <f t="shared" si="8"/>
        <v>Brindejonc, Pinky (6/17/24)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5">
        <f t="shared" si="10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9"/>
        <v>4</v>
      </c>
      <c r="B59" s="50"/>
      <c r="C59" s="50"/>
      <c r="D59" s="50"/>
      <c r="E59" s="7"/>
      <c r="F59" s="7"/>
      <c r="G59" s="7"/>
      <c r="H59" s="7"/>
      <c r="I59" s="7"/>
      <c r="J59" s="32"/>
      <c r="K59" s="32"/>
      <c r="L59" s="15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9"/>
        <v>5</v>
      </c>
      <c r="B60" s="50"/>
      <c r="C60" s="50"/>
      <c r="D60" s="50"/>
      <c r="E60" s="7"/>
      <c r="F60" s="7"/>
      <c r="G60" s="7"/>
      <c r="H60" s="7"/>
      <c r="I60" s="7"/>
      <c r="J60" s="32"/>
      <c r="K60" s="32"/>
      <c r="L60" s="15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9"/>
        <v>6</v>
      </c>
      <c r="B61" s="50"/>
      <c r="C61" s="50"/>
      <c r="D61" s="50"/>
      <c r="E61" s="7"/>
      <c r="F61" s="7"/>
      <c r="G61" s="7"/>
      <c r="H61" s="7"/>
      <c r="I61" s="7"/>
      <c r="J61" s="32"/>
      <c r="K61" s="32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9"/>
        <v>7</v>
      </c>
      <c r="B62" s="50"/>
      <c r="C62" s="50"/>
      <c r="D62" s="50"/>
      <c r="E62" s="7"/>
      <c r="F62" s="7"/>
      <c r="G62" s="7"/>
      <c r="H62" s="7"/>
      <c r="I62" s="7"/>
      <c r="J62" s="32"/>
      <c r="K62" s="32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9"/>
        <v>8</v>
      </c>
      <c r="B63" s="50"/>
      <c r="C63" s="50"/>
      <c r="D63" s="50"/>
      <c r="E63" s="7"/>
      <c r="F63" s="7"/>
      <c r="G63" s="7"/>
      <c r="H63" s="7"/>
      <c r="I63" s="7"/>
      <c r="J63" s="32"/>
      <c r="K63" s="32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9"/>
        <v>9</v>
      </c>
      <c r="B64" s="50"/>
      <c r="C64" s="50"/>
      <c r="D64" s="50"/>
      <c r="E64" s="7"/>
      <c r="F64" s="7"/>
      <c r="G64" s="7"/>
      <c r="H64" s="7"/>
      <c r="I64" s="7"/>
      <c r="J64" s="32"/>
      <c r="K64" s="32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9"/>
        <v>10</v>
      </c>
      <c r="B65" s="50"/>
      <c r="C65" s="50"/>
      <c r="D65" s="50"/>
      <c r="E65" s="7"/>
      <c r="F65" s="7"/>
      <c r="G65" s="7"/>
      <c r="H65" s="7"/>
      <c r="I65" s="7"/>
      <c r="J65" s="32"/>
      <c r="K65" s="32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9"/>
        <v>11</v>
      </c>
      <c r="B66" s="50"/>
      <c r="C66" s="50"/>
      <c r="D66" s="50"/>
      <c r="E66" s="7"/>
      <c r="F66" s="7"/>
      <c r="G66" s="7"/>
      <c r="H66" s="7"/>
      <c r="I66" s="7"/>
      <c r="J66" s="32"/>
      <c r="K66" s="32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9"/>
        <v>12</v>
      </c>
      <c r="B67" s="50"/>
      <c r="C67" s="50"/>
      <c r="D67" s="50"/>
      <c r="E67" s="7"/>
      <c r="F67" s="7"/>
      <c r="G67" s="7"/>
      <c r="H67" s="7"/>
      <c r="I67" s="7"/>
      <c r="J67" s="32"/>
      <c r="K67" s="32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9"/>
        <v>13</v>
      </c>
      <c r="B68" s="50"/>
      <c r="C68" s="50"/>
      <c r="D68" s="50"/>
      <c r="E68" s="7"/>
      <c r="F68" s="7"/>
      <c r="G68" s="7"/>
      <c r="H68" s="7"/>
      <c r="I68" s="7"/>
      <c r="J68" s="32"/>
      <c r="K68" s="32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9"/>
        <v>14</v>
      </c>
      <c r="B69" s="50"/>
      <c r="C69" s="50"/>
      <c r="D69" s="50"/>
      <c r="E69" s="7"/>
      <c r="F69" s="7"/>
      <c r="G69" s="7"/>
      <c r="H69" s="7"/>
      <c r="I69" s="7"/>
      <c r="J69" s="32"/>
      <c r="K69" s="32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9"/>
        <v>15</v>
      </c>
      <c r="B70" s="50"/>
      <c r="C70" s="50"/>
      <c r="D70" s="50"/>
      <c r="E70" s="7"/>
      <c r="F70" s="7"/>
      <c r="G70" s="7"/>
      <c r="H70" s="7"/>
      <c r="I70" s="7"/>
      <c r="J70" s="32"/>
      <c r="K70" s="32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9"/>
        <v>16</v>
      </c>
      <c r="B71" s="50"/>
      <c r="C71" s="50"/>
      <c r="D71" s="50"/>
      <c r="E71" s="7"/>
      <c r="F71" s="7"/>
      <c r="G71" s="7"/>
      <c r="H71" s="7"/>
      <c r="I71" s="7"/>
      <c r="J71" s="32"/>
      <c r="K71" s="32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9"/>
        <v>17</v>
      </c>
      <c r="B72" s="50"/>
      <c r="C72" s="50"/>
      <c r="D72" s="50"/>
      <c r="E72" s="7"/>
      <c r="F72" s="7"/>
      <c r="G72" s="7"/>
      <c r="H72" s="7"/>
      <c r="I72" s="7"/>
      <c r="J72" s="32"/>
      <c r="K72" s="32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9"/>
        <v>18</v>
      </c>
      <c r="B73" s="50"/>
      <c r="C73" s="50"/>
      <c r="D73" s="50"/>
      <c r="E73" s="7"/>
      <c r="F73" s="7"/>
      <c r="G73" s="7"/>
      <c r="H73" s="7"/>
      <c r="I73" s="7"/>
      <c r="J73" s="32"/>
      <c r="K73" s="32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0"/>
      <c r="C74" s="50"/>
      <c r="D74" s="50"/>
      <c r="E74" s="7"/>
      <c r="F74" s="7"/>
      <c r="G74" s="7"/>
      <c r="H74" s="7"/>
      <c r="I74" s="7"/>
      <c r="J74" s="32"/>
      <c r="K74" s="32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0"/>
      <c r="C75" s="50"/>
      <c r="D75" s="50"/>
      <c r="E75" s="7"/>
      <c r="F75" s="7"/>
      <c r="G75" s="7"/>
      <c r="H75" s="7"/>
      <c r="I75" s="7"/>
      <c r="J75" s="32"/>
      <c r="K75" s="32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0"/>
      <c r="C76" s="50"/>
      <c r="D76" s="50"/>
      <c r="E76" s="7"/>
      <c r="F76" s="7"/>
      <c r="G76" s="7"/>
      <c r="H76" s="7"/>
      <c r="I76" s="7"/>
      <c r="J76" s="32"/>
      <c r="K76" s="32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0"/>
      <c r="C77" s="50"/>
      <c r="D77" s="50"/>
      <c r="E77" s="7"/>
      <c r="F77" s="7"/>
      <c r="G77" s="7"/>
      <c r="H77" s="7"/>
      <c r="I77" s="7"/>
      <c r="J77" s="32"/>
      <c r="K77" s="32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0"/>
      <c r="C78" s="50"/>
      <c r="D78" s="50"/>
      <c r="E78" s="7"/>
      <c r="F78" s="7"/>
      <c r="G78" s="7"/>
      <c r="H78" s="7"/>
      <c r="I78" s="7"/>
      <c r="J78" s="32"/>
      <c r="K78" s="32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0"/>
      <c r="C79" s="50"/>
      <c r="D79" s="50"/>
      <c r="E79" s="7"/>
      <c r="F79" s="7"/>
      <c r="G79" s="7"/>
      <c r="H79" s="7"/>
      <c r="I79" s="7"/>
      <c r="J79" s="32"/>
      <c r="K79" s="32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0"/>
      <c r="C80" s="50"/>
      <c r="D80" s="50"/>
      <c r="E80" s="7"/>
      <c r="F80" s="7"/>
      <c r="G80" s="7"/>
      <c r="H80" s="7"/>
      <c r="I80" s="7"/>
      <c r="J80" s="32"/>
      <c r="K80" s="32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73</v>
      </c>
      <c r="E81" s="10">
        <f t="shared" ref="E81:L81" si="11">SUM(E56:E80)</f>
        <v>0</v>
      </c>
      <c r="F81" s="10">
        <f t="shared" si="11"/>
        <v>0</v>
      </c>
      <c r="G81" s="10">
        <f t="shared" si="11"/>
        <v>0</v>
      </c>
      <c r="H81" s="10">
        <f t="shared" si="11"/>
        <v>0</v>
      </c>
      <c r="I81" s="10">
        <f t="shared" si="11"/>
        <v>0</v>
      </c>
      <c r="J81" s="10">
        <f t="shared" si="11"/>
        <v>0</v>
      </c>
      <c r="K81" s="10">
        <f t="shared" si="11"/>
        <v>0</v>
      </c>
      <c r="L81" s="10">
        <f t="shared" si="11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81</v>
      </c>
      <c r="B82" s="3" t="s">
        <v>99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82</v>
      </c>
      <c r="B83" s="3" t="s">
        <v>100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83</v>
      </c>
      <c r="B84" s="3" t="s">
        <v>101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60</v>
      </c>
      <c r="B85" s="3" t="s">
        <v>102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84</v>
      </c>
      <c r="B86" s="3" t="s">
        <v>103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85</v>
      </c>
      <c r="B87" s="3" t="s">
        <v>104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I14:J15"/>
    <mergeCell ref="A2:C2"/>
    <mergeCell ref="A4:C4"/>
    <mergeCell ref="A6:B6"/>
    <mergeCell ref="A8:B8"/>
  </mergeCells>
  <phoneticPr fontId="6" type="noConversion"/>
  <printOptions horizontalCentered="1"/>
  <pageMargins left="0.23622047244094491" right="0.23622047244094491" top="0.74803149606299213" bottom="0.74803149606299213" header="0.31496062992125984" footer="0.31496062992125984"/>
  <pageSetup paperSize="5" scale="74" fitToHeight="0" orientation="landscape" r:id="rId1"/>
  <headerFooter>
    <oddHeader>&amp;C&amp;"Times New Roman,Bold"Government of Guam
Fiscal Year 2025, Quarter 3
Agency Staffing Pattern</oddHeader>
  </headerFooter>
  <rowBreaks count="1" manualBreakCount="1">
    <brk id="47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9B088-E4DF-4948-BD76-6F3D7C079F65}">
  <sheetPr>
    <tabColor theme="6" tint="0.79998168889431442"/>
    <pageSetUpPr fitToPage="1"/>
  </sheetPr>
  <dimension ref="A1:BV87"/>
  <sheetViews>
    <sheetView tabSelected="1" view="pageBreakPreview" zoomScale="130" zoomScaleNormal="145" zoomScaleSheetLayoutView="130" zoomScalePageLayoutView="50" workbookViewId="0">
      <selection activeCell="D2" sqref="D2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8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162" t="s">
        <v>1</v>
      </c>
      <c r="B2" s="162"/>
      <c r="C2" s="162"/>
      <c r="D2" s="112" t="s">
        <v>160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5"/>
      <c r="B3" s="65"/>
      <c r="C3" s="65"/>
      <c r="D3" s="11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162" t="s">
        <v>2</v>
      </c>
      <c r="B4" s="162"/>
      <c r="C4" s="162"/>
      <c r="D4" s="112" t="s">
        <v>3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5"/>
      <c r="B5" s="65"/>
      <c r="C5" s="65"/>
      <c r="D5" s="11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162" t="s">
        <v>4</v>
      </c>
      <c r="B6" s="162"/>
      <c r="C6" s="65"/>
      <c r="D6" s="112" t="s">
        <v>105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5"/>
      <c r="B7" s="65"/>
      <c r="C7" s="65"/>
      <c r="D7" s="112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162" t="s">
        <v>6</v>
      </c>
      <c r="B8" s="162"/>
      <c r="D8" s="112" t="s">
        <v>106</v>
      </c>
      <c r="E8" s="112" t="s">
        <v>107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16" t="s">
        <v>108</v>
      </c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10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10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11</v>
      </c>
      <c r="C13" s="44" t="s">
        <v>12</v>
      </c>
      <c r="D13" s="4" t="s">
        <v>13</v>
      </c>
      <c r="E13" s="44" t="s">
        <v>14</v>
      </c>
      <c r="F13" s="4" t="s">
        <v>15</v>
      </c>
      <c r="G13" s="31" t="s">
        <v>16</v>
      </c>
      <c r="H13" s="31" t="s">
        <v>17</v>
      </c>
      <c r="I13" s="31" t="s">
        <v>18</v>
      </c>
      <c r="J13" s="58" t="s">
        <v>19</v>
      </c>
      <c r="K13" s="44" t="s">
        <v>20</v>
      </c>
      <c r="L13" s="44" t="s">
        <v>21</v>
      </c>
      <c r="M13" s="4" t="s">
        <v>22</v>
      </c>
      <c r="N13" s="4" t="s">
        <v>23</v>
      </c>
      <c r="O13" s="4" t="s">
        <v>24</v>
      </c>
      <c r="P13" s="4" t="s">
        <v>25</v>
      </c>
      <c r="Q13" s="45" t="s">
        <v>26</v>
      </c>
      <c r="R13" s="58" t="s">
        <v>27</v>
      </c>
      <c r="S13" s="45" t="s">
        <v>28</v>
      </c>
      <c r="T13" s="17" t="s">
        <v>29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9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158" t="s">
        <v>30</v>
      </c>
      <c r="J14" s="159"/>
      <c r="K14" s="21" t="s">
        <v>0</v>
      </c>
      <c r="L14" s="19"/>
      <c r="M14" s="21"/>
      <c r="N14" s="21"/>
      <c r="O14" s="21" t="s">
        <v>31</v>
      </c>
      <c r="P14" s="21"/>
      <c r="Q14" s="46"/>
      <c r="R14" s="47"/>
      <c r="S14" s="22"/>
      <c r="T14" s="22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3"/>
      <c r="B15" s="36" t="s">
        <v>32</v>
      </c>
      <c r="C15" s="37" t="s">
        <v>32</v>
      </c>
      <c r="D15" s="37" t="s">
        <v>33</v>
      </c>
      <c r="E15" s="37" t="s">
        <v>34</v>
      </c>
      <c r="F15" s="37" t="s">
        <v>0</v>
      </c>
      <c r="G15" s="37"/>
      <c r="H15" s="37" t="s">
        <v>0</v>
      </c>
      <c r="I15" s="160"/>
      <c r="J15" s="161"/>
      <c r="K15" s="24" t="s">
        <v>35</v>
      </c>
      <c r="L15" s="20" t="s">
        <v>36</v>
      </c>
      <c r="M15" s="20" t="s">
        <v>37</v>
      </c>
      <c r="N15" s="20" t="s">
        <v>38</v>
      </c>
      <c r="O15" s="20" t="s">
        <v>39</v>
      </c>
      <c r="P15" s="19" t="s">
        <v>40</v>
      </c>
      <c r="Q15" s="34" t="s">
        <v>41</v>
      </c>
      <c r="R15" s="48" t="s">
        <v>42</v>
      </c>
      <c r="S15" s="22" t="s">
        <v>43</v>
      </c>
      <c r="T15" s="25" t="s">
        <v>44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6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57" t="s">
        <v>54</v>
      </c>
      <c r="K16" s="30" t="s">
        <v>55</v>
      </c>
      <c r="L16" s="71" t="s">
        <v>56</v>
      </c>
      <c r="M16" s="27" t="s">
        <v>57</v>
      </c>
      <c r="N16" s="27" t="s">
        <v>58</v>
      </c>
      <c r="O16" s="27" t="s">
        <v>59</v>
      </c>
      <c r="P16" s="29" t="s">
        <v>60</v>
      </c>
      <c r="Q16" s="43" t="s">
        <v>61</v>
      </c>
      <c r="R16" s="49" t="s">
        <v>61</v>
      </c>
      <c r="S16" s="30" t="s">
        <v>62</v>
      </c>
      <c r="T16" s="27" t="s">
        <v>63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113">
        <v>6600</v>
      </c>
      <c r="C17" s="147" t="s">
        <v>109</v>
      </c>
      <c r="D17" s="115" t="s">
        <v>65</v>
      </c>
      <c r="E17" s="115" t="s">
        <v>66</v>
      </c>
      <c r="F17" s="144">
        <f>ROUND((96671*0.324),0)</f>
        <v>31321</v>
      </c>
      <c r="G17" s="141">
        <v>0</v>
      </c>
      <c r="H17" s="142">
        <f>+L58</f>
        <v>0</v>
      </c>
      <c r="I17" s="136">
        <v>45850</v>
      </c>
      <c r="J17" s="144">
        <v>252</v>
      </c>
      <c r="K17" s="144">
        <f>(+F17+G17+H17+J17)</f>
        <v>31573</v>
      </c>
      <c r="L17" s="145">
        <f>+ROUND((K17*0.3077),0)</f>
        <v>9715</v>
      </c>
      <c r="M17" s="144">
        <v>160</v>
      </c>
      <c r="N17" s="149">
        <v>0</v>
      </c>
      <c r="O17" s="145">
        <f t="shared" ref="O17:O19" si="0">ROUND((K17*0.0145),0)</f>
        <v>458</v>
      </c>
      <c r="P17" s="145">
        <v>61</v>
      </c>
      <c r="Q17" s="146">
        <v>1294</v>
      </c>
      <c r="R17" s="146">
        <v>97</v>
      </c>
      <c r="S17" s="145">
        <f>+L17+M17+N17+O17+P17+Q17+R17</f>
        <v>11785</v>
      </c>
      <c r="T17" s="145">
        <f>+K17+S17</f>
        <v>43358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1">A17+1</f>
        <v>2</v>
      </c>
      <c r="B18" s="116">
        <v>6501</v>
      </c>
      <c r="C18" s="117" t="s">
        <v>110</v>
      </c>
      <c r="D18" s="148" t="s">
        <v>68</v>
      </c>
      <c r="E18" s="117" t="s">
        <v>69</v>
      </c>
      <c r="F18" s="130">
        <f>ROUND((86243*0.324),0)</f>
        <v>27943</v>
      </c>
      <c r="G18" s="143">
        <v>0</v>
      </c>
      <c r="H18" s="143">
        <f>+L60</f>
        <v>0</v>
      </c>
      <c r="I18" s="136">
        <v>45736</v>
      </c>
      <c r="J18" s="130">
        <v>526</v>
      </c>
      <c r="K18" s="132">
        <f t="shared" ref="K18:K19" si="2">(+F18+G18+H18+J18)</f>
        <v>28469</v>
      </c>
      <c r="L18" s="132">
        <f>+ROUND((K18*0.3077),0)</f>
        <v>8760</v>
      </c>
      <c r="M18" s="132">
        <v>160</v>
      </c>
      <c r="N18" s="150">
        <v>0</v>
      </c>
      <c r="O18" s="132">
        <f t="shared" si="0"/>
        <v>413</v>
      </c>
      <c r="P18" s="132">
        <v>61</v>
      </c>
      <c r="Q18" s="132">
        <v>1294</v>
      </c>
      <c r="R18" s="132">
        <v>97</v>
      </c>
      <c r="S18" s="132">
        <f t="shared" ref="S18:S19" si="3">+L18+M18+N18+O18+P18+Q18+R18</f>
        <v>10785</v>
      </c>
      <c r="T18" s="132">
        <f t="shared" ref="T18:T19" si="4">+K18+S18</f>
        <v>39254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1"/>
        <v>3</v>
      </c>
      <c r="B19" s="116">
        <v>6601</v>
      </c>
      <c r="C19" s="115" t="s">
        <v>111</v>
      </c>
      <c r="D19" s="148" t="s">
        <v>71</v>
      </c>
      <c r="E19" s="117" t="s">
        <v>72</v>
      </c>
      <c r="F19" s="130">
        <f>ROUND((60875*0.324),0)</f>
        <v>19724</v>
      </c>
      <c r="G19" s="143">
        <v>0</v>
      </c>
      <c r="H19" s="143">
        <f>+L61</f>
        <v>0</v>
      </c>
      <c r="I19" s="136">
        <v>45825</v>
      </c>
      <c r="J19" s="130">
        <v>212</v>
      </c>
      <c r="K19" s="132">
        <f t="shared" si="2"/>
        <v>19936</v>
      </c>
      <c r="L19" s="132">
        <f t="shared" ref="L19" si="5">+ROUND((K19*0.3077),0)</f>
        <v>6134</v>
      </c>
      <c r="M19" s="150">
        <v>0</v>
      </c>
      <c r="N19" s="150">
        <v>0</v>
      </c>
      <c r="O19" s="132">
        <f t="shared" si="0"/>
        <v>289</v>
      </c>
      <c r="P19" s="132">
        <v>61</v>
      </c>
      <c r="Q19" s="132">
        <v>2245</v>
      </c>
      <c r="R19" s="132">
        <v>128</v>
      </c>
      <c r="S19" s="132">
        <f t="shared" si="3"/>
        <v>8857</v>
      </c>
      <c r="T19" s="132">
        <f t="shared" si="4"/>
        <v>28793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1"/>
        <v>4</v>
      </c>
      <c r="B20" s="68"/>
      <c r="C20" s="67"/>
      <c r="D20" s="69"/>
      <c r="E20" s="69"/>
      <c r="F20" s="7"/>
      <c r="G20" s="7"/>
      <c r="H20" s="64"/>
      <c r="I20" s="8"/>
      <c r="J20" s="32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1"/>
        <v>5</v>
      </c>
      <c r="B21" s="68"/>
      <c r="C21" s="67"/>
      <c r="D21" s="69"/>
      <c r="E21" s="69"/>
      <c r="F21" s="7"/>
      <c r="G21" s="7"/>
      <c r="H21" s="64"/>
      <c r="I21" s="85"/>
      <c r="J21" s="86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1"/>
        <v>6</v>
      </c>
      <c r="B22" s="68"/>
      <c r="C22" s="67"/>
      <c r="D22" s="69"/>
      <c r="E22" s="69"/>
      <c r="F22" s="7"/>
      <c r="G22" s="7"/>
      <c r="H22" s="64"/>
      <c r="I22" s="87"/>
      <c r="J22" s="88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3">
        <f t="shared" si="1"/>
        <v>7</v>
      </c>
      <c r="B23" s="76"/>
      <c r="C23" s="80"/>
      <c r="D23" s="69"/>
      <c r="E23" s="69"/>
      <c r="F23" s="74"/>
      <c r="G23" s="74"/>
      <c r="H23" s="64"/>
      <c r="I23" s="89"/>
      <c r="J23" s="90"/>
      <c r="K23" s="75"/>
      <c r="L23" s="15"/>
      <c r="M23" s="15"/>
      <c r="N23" s="75"/>
      <c r="O23" s="75"/>
      <c r="P23" s="15"/>
      <c r="Q23" s="15"/>
      <c r="R23" s="15"/>
      <c r="S23" s="75"/>
      <c r="T23" s="75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3">
        <f t="shared" si="1"/>
        <v>8</v>
      </c>
      <c r="B24" s="79"/>
      <c r="C24" s="82"/>
      <c r="D24" s="83"/>
      <c r="E24" s="69"/>
      <c r="F24" s="74"/>
      <c r="G24" s="74"/>
      <c r="H24" s="64"/>
      <c r="I24" s="89"/>
      <c r="J24" s="90"/>
      <c r="K24" s="75"/>
      <c r="L24" s="15"/>
      <c r="M24" s="15"/>
      <c r="N24" s="75"/>
      <c r="O24" s="75"/>
      <c r="P24" s="15"/>
      <c r="Q24" s="15"/>
      <c r="R24" s="15"/>
      <c r="S24" s="75"/>
      <c r="T24" s="75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3">
        <f t="shared" si="1"/>
        <v>9</v>
      </c>
      <c r="B25" s="76"/>
      <c r="C25" s="80"/>
      <c r="D25" s="81"/>
      <c r="E25" s="78"/>
      <c r="F25" s="74"/>
      <c r="G25" s="74"/>
      <c r="H25" s="64"/>
      <c r="I25" s="89"/>
      <c r="J25" s="90"/>
      <c r="K25" s="75"/>
      <c r="L25" s="15"/>
      <c r="M25" s="15"/>
      <c r="N25" s="75"/>
      <c r="O25" s="75"/>
      <c r="P25" s="15"/>
      <c r="Q25" s="15"/>
      <c r="R25" s="15"/>
      <c r="S25" s="75"/>
      <c r="T25" s="7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1"/>
        <v>10</v>
      </c>
      <c r="B26" s="68"/>
      <c r="C26" s="67"/>
      <c r="D26" s="69"/>
      <c r="E26" s="69"/>
      <c r="F26" s="7"/>
      <c r="G26" s="7"/>
      <c r="H26" s="64"/>
      <c r="I26" s="87"/>
      <c r="J26" s="88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1"/>
        <v>11</v>
      </c>
      <c r="B27" s="68"/>
      <c r="C27" s="67"/>
      <c r="D27" s="69"/>
      <c r="E27" s="69"/>
      <c r="F27" s="7"/>
      <c r="G27" s="7"/>
      <c r="H27" s="64"/>
      <c r="I27" s="87"/>
      <c r="J27" s="88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1"/>
        <v>12</v>
      </c>
      <c r="B28" s="68"/>
      <c r="C28" s="67"/>
      <c r="D28" s="69"/>
      <c r="E28" s="69"/>
      <c r="F28" s="7"/>
      <c r="G28" s="7"/>
      <c r="H28" s="64"/>
      <c r="I28" s="87"/>
      <c r="J28" s="88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1"/>
        <v>13</v>
      </c>
      <c r="B29" s="68"/>
      <c r="C29" s="67"/>
      <c r="D29" s="69"/>
      <c r="E29" s="69"/>
      <c r="F29" s="7"/>
      <c r="G29" s="7"/>
      <c r="H29" s="64"/>
      <c r="I29" s="87"/>
      <c r="J29" s="88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1"/>
        <v>14</v>
      </c>
      <c r="B30" s="68"/>
      <c r="C30" s="84"/>
      <c r="D30" s="78"/>
      <c r="E30" s="77"/>
      <c r="F30" s="7"/>
      <c r="G30" s="74"/>
      <c r="H30" s="64"/>
      <c r="I30" s="89"/>
      <c r="J30" s="90"/>
      <c r="K30" s="75"/>
      <c r="L30" s="15"/>
      <c r="M30" s="91"/>
      <c r="N30" s="75"/>
      <c r="O30" s="75"/>
      <c r="P30" s="75"/>
      <c r="Q30" s="92"/>
      <c r="R30" s="92"/>
      <c r="S30" s="75"/>
      <c r="T30" s="7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1"/>
        <v>15</v>
      </c>
      <c r="B31" s="6"/>
      <c r="C31" s="51"/>
      <c r="D31" s="51"/>
      <c r="E31" s="51"/>
      <c r="F31" s="7"/>
      <c r="G31" s="7"/>
      <c r="H31" s="64"/>
      <c r="I31" s="87"/>
      <c r="J31" s="88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1"/>
        <v>16</v>
      </c>
      <c r="B32" s="6"/>
      <c r="C32" s="51"/>
      <c r="D32" s="51"/>
      <c r="E32" s="51"/>
      <c r="F32" s="7"/>
      <c r="G32" s="7"/>
      <c r="H32" s="64"/>
      <c r="I32" s="8"/>
      <c r="J32" s="32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1"/>
        <v>17</v>
      </c>
      <c r="B33" s="6"/>
      <c r="C33" s="51"/>
      <c r="D33" s="51"/>
      <c r="E33" s="51"/>
      <c r="F33" s="7"/>
      <c r="G33" s="7"/>
      <c r="H33" s="64"/>
      <c r="I33" s="8"/>
      <c r="J33" s="32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1"/>
        <v>18</v>
      </c>
      <c r="B34" s="6"/>
      <c r="C34" s="51"/>
      <c r="D34" s="51"/>
      <c r="E34" s="51"/>
      <c r="F34" s="7"/>
      <c r="G34" s="7"/>
      <c r="H34" s="64"/>
      <c r="I34" s="8"/>
      <c r="J34" s="32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1"/>
      <c r="D35" s="51"/>
      <c r="E35" s="51"/>
      <c r="F35" s="7"/>
      <c r="G35" s="74"/>
      <c r="H35" s="64"/>
      <c r="I35" s="8"/>
      <c r="J35" s="32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1"/>
      <c r="D36" s="51"/>
      <c r="E36" s="51"/>
      <c r="F36" s="7"/>
      <c r="G36" s="7"/>
      <c r="H36" s="64"/>
      <c r="I36" s="8"/>
      <c r="J36" s="32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1"/>
      <c r="D37" s="51"/>
      <c r="E37" s="51"/>
      <c r="F37" s="7"/>
      <c r="G37" s="7"/>
      <c r="H37" s="64"/>
      <c r="I37" s="8"/>
      <c r="J37" s="32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"/>
      <c r="G38" s="7"/>
      <c r="H38" s="64"/>
      <c r="I38" s="8"/>
      <c r="J38" s="32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"/>
      <c r="G39" s="7"/>
      <c r="H39" s="64"/>
      <c r="I39" s="8"/>
      <c r="J39" s="32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"/>
      <c r="G40" s="74"/>
      <c r="H40" s="64"/>
      <c r="I40" s="8"/>
      <c r="J40" s="32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"/>
      <c r="G41" s="7"/>
      <c r="H41" s="64"/>
      <c r="I41" s="8"/>
      <c r="J41" s="32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73</v>
      </c>
      <c r="E42" s="13" t="s">
        <v>74</v>
      </c>
      <c r="F42" s="10">
        <f>SUM(F17:F41)</f>
        <v>78988</v>
      </c>
      <c r="G42" s="10">
        <f t="shared" ref="G42:H42" si="6">SUM(G17:G41)</f>
        <v>0</v>
      </c>
      <c r="H42" s="10">
        <f t="shared" si="6"/>
        <v>0</v>
      </c>
      <c r="I42" s="12" t="s">
        <v>74</v>
      </c>
      <c r="J42" s="10">
        <f>SUM(J17:J41)</f>
        <v>990</v>
      </c>
      <c r="K42" s="10">
        <f t="shared" ref="K42:T42" si="7">SUM(K17:K41)</f>
        <v>79978</v>
      </c>
      <c r="L42" s="10">
        <f t="shared" si="7"/>
        <v>24609</v>
      </c>
      <c r="M42" s="10">
        <f t="shared" si="7"/>
        <v>320</v>
      </c>
      <c r="N42" s="10">
        <f t="shared" si="7"/>
        <v>0</v>
      </c>
      <c r="O42" s="10">
        <f t="shared" si="7"/>
        <v>1160</v>
      </c>
      <c r="P42" s="10">
        <f t="shared" si="7"/>
        <v>183</v>
      </c>
      <c r="Q42" s="10">
        <f t="shared" si="7"/>
        <v>4833</v>
      </c>
      <c r="R42" s="10">
        <f t="shared" si="7"/>
        <v>322</v>
      </c>
      <c r="S42" s="10">
        <f t="shared" si="7"/>
        <v>31427</v>
      </c>
      <c r="T42" s="10">
        <f t="shared" si="7"/>
        <v>111405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" customHeight="1">
      <c r="A43" s="16" t="s">
        <v>75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76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0" t="s">
        <v>77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0" t="s">
        <v>78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0" t="s">
        <v>79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3" t="s">
        <v>10</v>
      </c>
      <c r="C49" s="94"/>
      <c r="D49" s="94"/>
      <c r="E49" s="94"/>
      <c r="F49" s="94"/>
      <c r="G49" s="94"/>
      <c r="H49" s="94"/>
      <c r="I49" s="94"/>
      <c r="J49" s="95"/>
      <c r="K49" s="96"/>
      <c r="L49" s="97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8" t="s">
        <v>80</v>
      </c>
      <c r="C50" s="99"/>
      <c r="D50" s="99"/>
      <c r="E50" s="99"/>
      <c r="F50" s="99"/>
      <c r="G50" s="99"/>
      <c r="H50" s="99"/>
      <c r="I50" s="99"/>
      <c r="J50" s="99"/>
      <c r="K50" s="99"/>
      <c r="L50" s="100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1" t="s">
        <v>11</v>
      </c>
      <c r="C51" s="4" t="s">
        <v>12</v>
      </c>
      <c r="D51" s="4" t="s">
        <v>13</v>
      </c>
      <c r="E51" s="4" t="s">
        <v>14</v>
      </c>
      <c r="F51" s="4" t="s">
        <v>15</v>
      </c>
      <c r="G51" s="4" t="s">
        <v>16</v>
      </c>
      <c r="H51" s="4" t="s">
        <v>17</v>
      </c>
      <c r="I51" s="4" t="s">
        <v>18</v>
      </c>
      <c r="J51" s="4" t="s">
        <v>19</v>
      </c>
      <c r="K51" s="4" t="s">
        <v>20</v>
      </c>
      <c r="L51" s="102" t="s">
        <v>21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1"/>
      <c r="C52" s="44"/>
      <c r="D52" s="4"/>
      <c r="E52" s="44"/>
      <c r="F52" s="11" t="s">
        <v>81</v>
      </c>
      <c r="G52" s="62" t="s">
        <v>82</v>
      </c>
      <c r="H52" s="61" t="s">
        <v>83</v>
      </c>
      <c r="I52" s="61" t="s">
        <v>60</v>
      </c>
      <c r="J52" s="61" t="s">
        <v>84</v>
      </c>
      <c r="K52" s="61" t="s">
        <v>85</v>
      </c>
      <c r="L52" s="103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9"/>
      <c r="B53" s="104" t="s">
        <v>0</v>
      </c>
      <c r="C53" s="53"/>
      <c r="D53" s="35" t="s">
        <v>0</v>
      </c>
      <c r="E53" s="35" t="s">
        <v>86</v>
      </c>
      <c r="F53" s="59" t="s">
        <v>87</v>
      </c>
      <c r="G53" s="37"/>
      <c r="H53" s="37" t="s">
        <v>0</v>
      </c>
      <c r="I53" s="60" t="s">
        <v>88</v>
      </c>
      <c r="J53" s="37" t="s">
        <v>89</v>
      </c>
      <c r="K53" s="37" t="s">
        <v>90</v>
      </c>
      <c r="L53" s="105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3"/>
      <c r="B54" s="106" t="s">
        <v>32</v>
      </c>
      <c r="C54" s="37" t="s">
        <v>32</v>
      </c>
      <c r="D54" s="37" t="s">
        <v>33</v>
      </c>
      <c r="E54" s="37" t="s">
        <v>91</v>
      </c>
      <c r="F54" s="37" t="s">
        <v>91</v>
      </c>
      <c r="G54" s="37" t="s">
        <v>92</v>
      </c>
      <c r="H54" s="37" t="s">
        <v>92</v>
      </c>
      <c r="I54" s="37" t="s">
        <v>91</v>
      </c>
      <c r="J54" s="37" t="s">
        <v>91</v>
      </c>
      <c r="K54" s="37" t="s">
        <v>91</v>
      </c>
      <c r="L54" s="107" t="s">
        <v>93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6" t="s">
        <v>45</v>
      </c>
      <c r="B55" s="108" t="s">
        <v>46</v>
      </c>
      <c r="C55" s="109" t="s">
        <v>94</v>
      </c>
      <c r="D55" s="109" t="s">
        <v>48</v>
      </c>
      <c r="E55" s="109"/>
      <c r="F55" s="110" t="s">
        <v>95</v>
      </c>
      <c r="G55" s="110" t="s">
        <v>95</v>
      </c>
      <c r="H55" s="110" t="s">
        <v>96</v>
      </c>
      <c r="I55" s="110" t="s">
        <v>97</v>
      </c>
      <c r="J55" s="110" t="s">
        <v>97</v>
      </c>
      <c r="K55" s="110" t="s">
        <v>98</v>
      </c>
      <c r="L55" s="111" t="s">
        <v>55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0">
        <f t="shared" ref="B56:D58" si="8">+B17</f>
        <v>6600</v>
      </c>
      <c r="C56" s="50" t="str">
        <f t="shared" si="8"/>
        <v>SC Administrator ($96,6711 @ 32.4%)</v>
      </c>
      <c r="D56" s="50" t="str">
        <f t="shared" si="8"/>
        <v>San Nicolas, Charlene D. (7/12/21)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63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9">A56+1</f>
        <v>2</v>
      </c>
      <c r="B57" s="50">
        <f t="shared" si="8"/>
        <v>6501</v>
      </c>
      <c r="C57" s="50" t="str">
        <f t="shared" si="8"/>
        <v>SC Assistant Administrator ($86,243 @ 32.4%)</v>
      </c>
      <c r="D57" s="50" t="str">
        <f t="shared" si="8"/>
        <v>Palomo, Chad (03/20/22)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5">
        <f t="shared" ref="L57:L58" si="10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9"/>
        <v>3</v>
      </c>
      <c r="B58" s="50">
        <f t="shared" si="8"/>
        <v>6601</v>
      </c>
      <c r="C58" s="50" t="str">
        <f t="shared" si="8"/>
        <v>Management Analyst IV ($60,875 @ 32.4%)</v>
      </c>
      <c r="D58" s="50" t="str">
        <f t="shared" si="8"/>
        <v>Brindejonc, Pinky (6/17/24)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5">
        <f t="shared" si="10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9"/>
        <v>4</v>
      </c>
      <c r="B59" s="50"/>
      <c r="C59" s="50"/>
      <c r="D59" s="50"/>
      <c r="E59" s="7"/>
      <c r="F59" s="7"/>
      <c r="G59" s="7"/>
      <c r="H59" s="7"/>
      <c r="I59" s="7"/>
      <c r="J59" s="32"/>
      <c r="K59" s="32"/>
      <c r="L59" s="15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9"/>
        <v>5</v>
      </c>
      <c r="B60" s="50"/>
      <c r="C60" s="50"/>
      <c r="D60" s="50"/>
      <c r="E60" s="7"/>
      <c r="F60" s="7"/>
      <c r="G60" s="7"/>
      <c r="H60" s="7"/>
      <c r="I60" s="7"/>
      <c r="J60" s="32"/>
      <c r="K60" s="32"/>
      <c r="L60" s="15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9"/>
        <v>6</v>
      </c>
      <c r="B61" s="50"/>
      <c r="C61" s="50"/>
      <c r="D61" s="50"/>
      <c r="E61" s="7"/>
      <c r="F61" s="7"/>
      <c r="G61" s="7"/>
      <c r="H61" s="7"/>
      <c r="I61" s="7"/>
      <c r="J61" s="32"/>
      <c r="K61" s="32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9"/>
        <v>7</v>
      </c>
      <c r="B62" s="50"/>
      <c r="C62" s="50"/>
      <c r="D62" s="50"/>
      <c r="E62" s="7"/>
      <c r="F62" s="7"/>
      <c r="G62" s="7"/>
      <c r="H62" s="7"/>
      <c r="I62" s="7"/>
      <c r="J62" s="32"/>
      <c r="K62" s="32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9"/>
        <v>8</v>
      </c>
      <c r="B63" s="50"/>
      <c r="C63" s="50"/>
      <c r="D63" s="50"/>
      <c r="E63" s="7"/>
      <c r="F63" s="7"/>
      <c r="G63" s="7"/>
      <c r="H63" s="7"/>
      <c r="I63" s="7"/>
      <c r="J63" s="32"/>
      <c r="K63" s="32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9"/>
        <v>9</v>
      </c>
      <c r="B64" s="50"/>
      <c r="C64" s="50"/>
      <c r="D64" s="50"/>
      <c r="E64" s="7"/>
      <c r="F64" s="7"/>
      <c r="G64" s="7"/>
      <c r="H64" s="7"/>
      <c r="I64" s="7"/>
      <c r="J64" s="32"/>
      <c r="K64" s="32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9"/>
        <v>10</v>
      </c>
      <c r="B65" s="50"/>
      <c r="C65" s="50"/>
      <c r="D65" s="50"/>
      <c r="E65" s="7"/>
      <c r="F65" s="7"/>
      <c r="G65" s="7"/>
      <c r="H65" s="7"/>
      <c r="I65" s="7"/>
      <c r="J65" s="32"/>
      <c r="K65" s="32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9"/>
        <v>11</v>
      </c>
      <c r="B66" s="50"/>
      <c r="C66" s="50"/>
      <c r="D66" s="50"/>
      <c r="E66" s="7"/>
      <c r="F66" s="7"/>
      <c r="G66" s="7"/>
      <c r="H66" s="7"/>
      <c r="I66" s="7"/>
      <c r="J66" s="32"/>
      <c r="K66" s="32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9"/>
        <v>12</v>
      </c>
      <c r="B67" s="50"/>
      <c r="C67" s="50"/>
      <c r="D67" s="50"/>
      <c r="E67" s="7"/>
      <c r="F67" s="7"/>
      <c r="G67" s="7"/>
      <c r="H67" s="7"/>
      <c r="I67" s="7"/>
      <c r="J67" s="32"/>
      <c r="K67" s="32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9"/>
        <v>13</v>
      </c>
      <c r="B68" s="50"/>
      <c r="C68" s="50"/>
      <c r="D68" s="50"/>
      <c r="E68" s="7"/>
      <c r="F68" s="7"/>
      <c r="G68" s="7"/>
      <c r="H68" s="7"/>
      <c r="I68" s="7"/>
      <c r="J68" s="32"/>
      <c r="K68" s="32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9"/>
        <v>14</v>
      </c>
      <c r="B69" s="50"/>
      <c r="C69" s="50"/>
      <c r="D69" s="50"/>
      <c r="E69" s="7"/>
      <c r="F69" s="7"/>
      <c r="G69" s="7"/>
      <c r="H69" s="7"/>
      <c r="I69" s="7"/>
      <c r="J69" s="32"/>
      <c r="K69" s="32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9"/>
        <v>15</v>
      </c>
      <c r="B70" s="50"/>
      <c r="C70" s="50"/>
      <c r="D70" s="50"/>
      <c r="E70" s="7"/>
      <c r="F70" s="7"/>
      <c r="G70" s="7"/>
      <c r="H70" s="7"/>
      <c r="I70" s="7"/>
      <c r="J70" s="32"/>
      <c r="K70" s="32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9"/>
        <v>16</v>
      </c>
      <c r="B71" s="50"/>
      <c r="C71" s="50"/>
      <c r="D71" s="50"/>
      <c r="E71" s="7"/>
      <c r="F71" s="7"/>
      <c r="G71" s="7"/>
      <c r="H71" s="7"/>
      <c r="I71" s="7"/>
      <c r="J71" s="32"/>
      <c r="K71" s="32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9"/>
        <v>17</v>
      </c>
      <c r="B72" s="50"/>
      <c r="C72" s="50"/>
      <c r="D72" s="50"/>
      <c r="E72" s="7"/>
      <c r="F72" s="7"/>
      <c r="G72" s="7"/>
      <c r="H72" s="7"/>
      <c r="I72" s="7"/>
      <c r="J72" s="32"/>
      <c r="K72" s="32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9"/>
        <v>18</v>
      </c>
      <c r="B73" s="50"/>
      <c r="C73" s="50"/>
      <c r="D73" s="50"/>
      <c r="E73" s="7"/>
      <c r="F73" s="7"/>
      <c r="G73" s="7"/>
      <c r="H73" s="7"/>
      <c r="I73" s="7"/>
      <c r="J73" s="32"/>
      <c r="K73" s="32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0"/>
      <c r="C74" s="50"/>
      <c r="D74" s="50"/>
      <c r="E74" s="7"/>
      <c r="F74" s="7"/>
      <c r="G74" s="7"/>
      <c r="H74" s="7"/>
      <c r="I74" s="7"/>
      <c r="J74" s="32"/>
      <c r="K74" s="32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0"/>
      <c r="C75" s="50"/>
      <c r="D75" s="50"/>
      <c r="E75" s="7"/>
      <c r="F75" s="7"/>
      <c r="G75" s="7"/>
      <c r="H75" s="7"/>
      <c r="I75" s="7"/>
      <c r="J75" s="32"/>
      <c r="K75" s="32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0"/>
      <c r="C76" s="50"/>
      <c r="D76" s="50"/>
      <c r="E76" s="7"/>
      <c r="F76" s="7"/>
      <c r="G76" s="7"/>
      <c r="H76" s="7"/>
      <c r="I76" s="7"/>
      <c r="J76" s="32"/>
      <c r="K76" s="32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0"/>
      <c r="C77" s="50"/>
      <c r="D77" s="50"/>
      <c r="E77" s="7"/>
      <c r="F77" s="7"/>
      <c r="G77" s="7"/>
      <c r="H77" s="7"/>
      <c r="I77" s="7"/>
      <c r="J77" s="32"/>
      <c r="K77" s="32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0"/>
      <c r="C78" s="50"/>
      <c r="D78" s="50"/>
      <c r="E78" s="7"/>
      <c r="F78" s="7"/>
      <c r="G78" s="7"/>
      <c r="H78" s="7"/>
      <c r="I78" s="7"/>
      <c r="J78" s="32"/>
      <c r="K78" s="32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0"/>
      <c r="C79" s="50"/>
      <c r="D79" s="50"/>
      <c r="E79" s="7"/>
      <c r="F79" s="7"/>
      <c r="G79" s="7"/>
      <c r="H79" s="7"/>
      <c r="I79" s="7"/>
      <c r="J79" s="32"/>
      <c r="K79" s="32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0"/>
      <c r="C80" s="50"/>
      <c r="D80" s="50"/>
      <c r="E80" s="7"/>
      <c r="F80" s="7"/>
      <c r="G80" s="7"/>
      <c r="H80" s="7"/>
      <c r="I80" s="7"/>
      <c r="J80" s="32"/>
      <c r="K80" s="32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73</v>
      </c>
      <c r="E81" s="10">
        <f t="shared" ref="E81:L81" si="11">SUM(E56:E80)</f>
        <v>0</v>
      </c>
      <c r="F81" s="10">
        <f t="shared" si="11"/>
        <v>0</v>
      </c>
      <c r="G81" s="10">
        <f t="shared" si="11"/>
        <v>0</v>
      </c>
      <c r="H81" s="10">
        <f t="shared" si="11"/>
        <v>0</v>
      </c>
      <c r="I81" s="10">
        <f t="shared" si="11"/>
        <v>0</v>
      </c>
      <c r="J81" s="10">
        <f t="shared" si="11"/>
        <v>0</v>
      </c>
      <c r="K81" s="10">
        <f t="shared" si="11"/>
        <v>0</v>
      </c>
      <c r="L81" s="10">
        <f t="shared" si="11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81</v>
      </c>
      <c r="B82" s="3" t="s">
        <v>99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82</v>
      </c>
      <c r="B83" s="3" t="s">
        <v>100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83</v>
      </c>
      <c r="B84" s="3" t="s">
        <v>101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60</v>
      </c>
      <c r="B85" s="3" t="s">
        <v>102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84</v>
      </c>
      <c r="B86" s="3" t="s">
        <v>103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85</v>
      </c>
      <c r="B87" s="3" t="s">
        <v>104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74" fitToHeight="0" orientation="landscape" r:id="rId1"/>
  <headerFooter>
    <oddHeader>&amp;C&amp;"Times New Roman,Bold"Government of Guam
Fiscal Year 2025, Quarter 3
Agency Staffing Pattern</oddHeader>
  </headerFooter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5990A-7EEF-47E2-B451-B78377BE9D47}">
  <sheetPr>
    <tabColor theme="6" tint="0.79998168889431442"/>
    <pageSetUpPr fitToPage="1"/>
  </sheetPr>
  <dimension ref="A1:BV88"/>
  <sheetViews>
    <sheetView tabSelected="1" view="pageBreakPreview" zoomScale="145" zoomScaleNormal="145" zoomScaleSheetLayoutView="145" zoomScalePageLayoutView="50" workbookViewId="0">
      <selection activeCell="D2" sqref="D2"/>
    </sheetView>
  </sheetViews>
  <sheetFormatPr defaultColWidth="8.77734375" defaultRowHeight="11.25"/>
  <cols>
    <col min="1" max="1" width="2.77734375" style="9" customWidth="1"/>
    <col min="2" max="2" width="7.77734375" style="9" customWidth="1"/>
    <col min="3" max="3" width="26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162" t="s">
        <v>1</v>
      </c>
      <c r="B2" s="162"/>
      <c r="C2" s="162"/>
      <c r="D2" s="112" t="s">
        <v>160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5"/>
      <c r="B3" s="65"/>
      <c r="C3" s="65"/>
      <c r="D3" s="11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162" t="s">
        <v>2</v>
      </c>
      <c r="B4" s="162"/>
      <c r="C4" s="162"/>
      <c r="D4" s="112" t="s">
        <v>3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5"/>
      <c r="B5" s="65"/>
      <c r="C5" s="65"/>
      <c r="D5" s="11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162" t="s">
        <v>4</v>
      </c>
      <c r="B6" s="162"/>
      <c r="C6" s="65"/>
      <c r="D6" s="112" t="s">
        <v>112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5"/>
      <c r="B7" s="65"/>
      <c r="C7" s="65"/>
      <c r="D7" s="112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162" t="s">
        <v>6</v>
      </c>
      <c r="B8" s="162"/>
      <c r="D8" s="112" t="s">
        <v>106</v>
      </c>
      <c r="E8" s="112" t="s">
        <v>113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16" t="s">
        <v>108</v>
      </c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10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10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11</v>
      </c>
      <c r="C13" s="44" t="s">
        <v>12</v>
      </c>
      <c r="D13" s="4" t="s">
        <v>13</v>
      </c>
      <c r="E13" s="44" t="s">
        <v>14</v>
      </c>
      <c r="F13" s="4" t="s">
        <v>15</v>
      </c>
      <c r="G13" s="31" t="s">
        <v>16</v>
      </c>
      <c r="H13" s="31" t="s">
        <v>17</v>
      </c>
      <c r="I13" s="31" t="s">
        <v>18</v>
      </c>
      <c r="J13" s="58" t="s">
        <v>19</v>
      </c>
      <c r="K13" s="44" t="s">
        <v>20</v>
      </c>
      <c r="L13" s="44" t="s">
        <v>21</v>
      </c>
      <c r="M13" s="4" t="s">
        <v>22</v>
      </c>
      <c r="N13" s="4" t="s">
        <v>23</v>
      </c>
      <c r="O13" s="4" t="s">
        <v>24</v>
      </c>
      <c r="P13" s="4" t="s">
        <v>25</v>
      </c>
      <c r="Q13" s="45" t="s">
        <v>26</v>
      </c>
      <c r="R13" s="58" t="s">
        <v>27</v>
      </c>
      <c r="S13" s="45" t="s">
        <v>28</v>
      </c>
      <c r="T13" s="17" t="s">
        <v>29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9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158" t="s">
        <v>30</v>
      </c>
      <c r="J14" s="159"/>
      <c r="K14" s="21" t="s">
        <v>0</v>
      </c>
      <c r="L14" s="19"/>
      <c r="M14" s="21"/>
      <c r="N14" s="21"/>
      <c r="O14" s="21" t="s">
        <v>31</v>
      </c>
      <c r="P14" s="21"/>
      <c r="Q14" s="46"/>
      <c r="R14" s="47"/>
      <c r="S14" s="22"/>
      <c r="T14" s="22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3"/>
      <c r="B15" s="36" t="s">
        <v>32</v>
      </c>
      <c r="C15" s="37" t="s">
        <v>32</v>
      </c>
      <c r="D15" s="37" t="s">
        <v>33</v>
      </c>
      <c r="E15" s="37" t="s">
        <v>34</v>
      </c>
      <c r="F15" s="37" t="s">
        <v>0</v>
      </c>
      <c r="G15" s="37"/>
      <c r="H15" s="37" t="s">
        <v>0</v>
      </c>
      <c r="I15" s="160"/>
      <c r="J15" s="161"/>
      <c r="K15" s="24" t="s">
        <v>35</v>
      </c>
      <c r="L15" s="20" t="s">
        <v>36</v>
      </c>
      <c r="M15" s="20" t="s">
        <v>37</v>
      </c>
      <c r="N15" s="20" t="s">
        <v>38</v>
      </c>
      <c r="O15" s="20" t="s">
        <v>39</v>
      </c>
      <c r="P15" s="19" t="s">
        <v>40</v>
      </c>
      <c r="Q15" s="34" t="s">
        <v>41</v>
      </c>
      <c r="R15" s="48" t="s">
        <v>42</v>
      </c>
      <c r="S15" s="22" t="s">
        <v>43</v>
      </c>
      <c r="T15" s="25" t="s">
        <v>44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6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57" t="s">
        <v>54</v>
      </c>
      <c r="K16" s="30" t="s">
        <v>55</v>
      </c>
      <c r="L16" s="71" t="s">
        <v>56</v>
      </c>
      <c r="M16" s="27" t="s">
        <v>57</v>
      </c>
      <c r="N16" s="27" t="s">
        <v>58</v>
      </c>
      <c r="O16" s="27" t="s">
        <v>59</v>
      </c>
      <c r="P16" s="29" t="s">
        <v>60</v>
      </c>
      <c r="Q16" s="43" t="s">
        <v>61</v>
      </c>
      <c r="R16" s="49" t="s">
        <v>61</v>
      </c>
      <c r="S16" s="30" t="s">
        <v>62</v>
      </c>
      <c r="T16" s="27" t="s">
        <v>63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116">
        <v>6201</v>
      </c>
      <c r="C17" s="115" t="s">
        <v>114</v>
      </c>
      <c r="D17" s="115" t="s">
        <v>115</v>
      </c>
      <c r="E17" s="117" t="s">
        <v>116</v>
      </c>
      <c r="F17" s="154">
        <v>56999</v>
      </c>
      <c r="G17" s="141">
        <v>0</v>
      </c>
      <c r="H17" s="142">
        <f>+L58</f>
        <v>0</v>
      </c>
      <c r="I17" s="136">
        <v>45814</v>
      </c>
      <c r="J17" s="144">
        <v>613</v>
      </c>
      <c r="K17" s="144">
        <f>(+F17+G17+H17+J17)</f>
        <v>57612</v>
      </c>
      <c r="L17" s="145">
        <f>+ROUND((K17*0.3077),0)</f>
        <v>17727</v>
      </c>
      <c r="M17" s="144">
        <v>495</v>
      </c>
      <c r="N17" s="152">
        <v>0</v>
      </c>
      <c r="O17" s="145">
        <f t="shared" ref="O17:O18" si="0">ROUND((K17*0.0145),0)</f>
        <v>835</v>
      </c>
      <c r="P17" s="145">
        <v>187</v>
      </c>
      <c r="Q17" s="146">
        <v>6117</v>
      </c>
      <c r="R17" s="146">
        <v>298</v>
      </c>
      <c r="S17" s="145">
        <f t="shared" ref="S17:S21" si="1">+L17+M17+N17+O17+P17+Q17+R17</f>
        <v>25659</v>
      </c>
      <c r="T17" s="145">
        <f t="shared" ref="T17:T21" si="2">+K17+S17</f>
        <v>83271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3">A17+1</f>
        <v>2</v>
      </c>
      <c r="B18" s="118">
        <v>6609</v>
      </c>
      <c r="C18" s="67" t="s">
        <v>117</v>
      </c>
      <c r="D18" s="69" t="s">
        <v>118</v>
      </c>
      <c r="E18" s="69" t="s">
        <v>119</v>
      </c>
      <c r="F18" s="133">
        <v>49731</v>
      </c>
      <c r="G18" s="143">
        <v>0</v>
      </c>
      <c r="H18" s="143">
        <f>+L60</f>
        <v>0</v>
      </c>
      <c r="I18" s="136">
        <v>46077</v>
      </c>
      <c r="J18" s="143">
        <f>+N60</f>
        <v>0</v>
      </c>
      <c r="K18" s="132">
        <f t="shared" ref="K18" si="4">(+F18+G18+H18+J18)</f>
        <v>49731</v>
      </c>
      <c r="L18" s="132">
        <f>+ROUND((K18*0.3077),0)</f>
        <v>15302</v>
      </c>
      <c r="M18" s="132">
        <v>495</v>
      </c>
      <c r="N18" s="153">
        <v>0</v>
      </c>
      <c r="O18" s="132">
        <f t="shared" si="0"/>
        <v>721</v>
      </c>
      <c r="P18" s="132">
        <v>187</v>
      </c>
      <c r="Q18" s="132">
        <v>6117</v>
      </c>
      <c r="R18" s="132">
        <v>298</v>
      </c>
      <c r="S18" s="132">
        <f t="shared" si="1"/>
        <v>23120</v>
      </c>
      <c r="T18" s="132">
        <f t="shared" si="2"/>
        <v>72851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s="125" customFormat="1">
      <c r="A19" s="129">
        <f t="shared" si="3"/>
        <v>3</v>
      </c>
      <c r="B19" s="120">
        <v>6912</v>
      </c>
      <c r="C19" s="115" t="s">
        <v>120</v>
      </c>
      <c r="D19" s="117" t="s">
        <v>121</v>
      </c>
      <c r="E19" s="117" t="s">
        <v>122</v>
      </c>
      <c r="F19" s="133">
        <v>73315</v>
      </c>
      <c r="G19" s="143">
        <v>0</v>
      </c>
      <c r="H19" s="143">
        <f>+L61</f>
        <v>0</v>
      </c>
      <c r="I19" s="136">
        <v>45825</v>
      </c>
      <c r="J19" s="130">
        <v>660</v>
      </c>
      <c r="K19" s="132">
        <f t="shared" ref="K19" si="5">(+F19+G19+H19+J19)</f>
        <v>73975</v>
      </c>
      <c r="L19" s="132">
        <f t="shared" ref="L19:L21" si="6">+ROUND((K19*0.3077),0)</f>
        <v>22762</v>
      </c>
      <c r="M19" s="132">
        <v>495</v>
      </c>
      <c r="N19" s="153">
        <v>0</v>
      </c>
      <c r="O19" s="132">
        <f t="shared" ref="O19:O21" si="7">ROUND((K19*0.0145),0)</f>
        <v>1073</v>
      </c>
      <c r="P19" s="132">
        <v>187</v>
      </c>
      <c r="Q19" s="132">
        <v>5709</v>
      </c>
      <c r="R19" s="132">
        <v>329</v>
      </c>
      <c r="S19" s="132">
        <f t="shared" ref="S19" si="8">+L19+M19+N19+O19+P19+Q19+R19</f>
        <v>30555</v>
      </c>
      <c r="T19" s="132">
        <f t="shared" ref="T19" si="9">+K19+S19</f>
        <v>104530</v>
      </c>
      <c r="U19" s="124"/>
      <c r="V19" s="124"/>
      <c r="W19" s="124"/>
      <c r="X19" s="124"/>
      <c r="Y19" s="124"/>
      <c r="Z19" s="124"/>
      <c r="AA19" s="124"/>
      <c r="AB19" s="124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</row>
    <row r="20" spans="1:74">
      <c r="A20" s="6">
        <f>A19+1</f>
        <v>4</v>
      </c>
      <c r="B20" s="121">
        <v>6914</v>
      </c>
      <c r="C20" s="151" t="s">
        <v>123</v>
      </c>
      <c r="D20" s="122" t="s">
        <v>124</v>
      </c>
      <c r="E20" s="122" t="s">
        <v>125</v>
      </c>
      <c r="F20" s="134">
        <v>45262</v>
      </c>
      <c r="G20" s="143">
        <v>0</v>
      </c>
      <c r="H20" s="143">
        <f>+L62</f>
        <v>0</v>
      </c>
      <c r="I20" s="137">
        <v>45790</v>
      </c>
      <c r="J20" s="135">
        <v>608</v>
      </c>
      <c r="K20" s="132">
        <f>(+F20+G20+H20+J20)</f>
        <v>45870</v>
      </c>
      <c r="L20" s="132">
        <f t="shared" si="6"/>
        <v>14114</v>
      </c>
      <c r="M20" s="132">
        <v>495</v>
      </c>
      <c r="N20" s="153">
        <v>0</v>
      </c>
      <c r="O20" s="132">
        <f t="shared" si="7"/>
        <v>665</v>
      </c>
      <c r="P20" s="132">
        <v>187</v>
      </c>
      <c r="Q20" s="132">
        <v>15670</v>
      </c>
      <c r="R20" s="132">
        <v>530</v>
      </c>
      <c r="S20" s="132">
        <f t="shared" si="1"/>
        <v>31661</v>
      </c>
      <c r="T20" s="132">
        <f t="shared" si="2"/>
        <v>77531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3"/>
        <v>5</v>
      </c>
      <c r="B21" s="123" t="s">
        <v>126</v>
      </c>
      <c r="C21" s="115" t="s">
        <v>127</v>
      </c>
      <c r="D21" s="69" t="s">
        <v>128</v>
      </c>
      <c r="E21" s="69" t="s">
        <v>129</v>
      </c>
      <c r="F21" s="133">
        <f>ROUND((41372*0.6),0)</f>
        <v>24823</v>
      </c>
      <c r="G21" s="143">
        <v>0</v>
      </c>
      <c r="H21" s="143">
        <f>+L63</f>
        <v>0</v>
      </c>
      <c r="I21" s="138"/>
      <c r="J21" s="143">
        <f>+N63</f>
        <v>0</v>
      </c>
      <c r="K21" s="132">
        <f t="shared" ref="K21" si="10">(+F21+G21+H21+J21)</f>
        <v>24823</v>
      </c>
      <c r="L21" s="132">
        <f t="shared" si="6"/>
        <v>7638</v>
      </c>
      <c r="M21" s="132">
        <v>297</v>
      </c>
      <c r="N21" s="153">
        <v>0</v>
      </c>
      <c r="O21" s="132">
        <f t="shared" si="7"/>
        <v>360</v>
      </c>
      <c r="P21" s="132">
        <v>112</v>
      </c>
      <c r="Q21" s="132">
        <v>4157</v>
      </c>
      <c r="R21" s="132">
        <v>179</v>
      </c>
      <c r="S21" s="132">
        <f t="shared" si="1"/>
        <v>12743</v>
      </c>
      <c r="T21" s="132">
        <f t="shared" si="2"/>
        <v>37566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3"/>
        <v>6</v>
      </c>
      <c r="B22" s="123"/>
      <c r="C22" s="114"/>
      <c r="D22" s="119"/>
      <c r="E22" s="69"/>
      <c r="F22" s="7"/>
      <c r="G22" s="7"/>
      <c r="H22" s="64"/>
      <c r="I22" s="87"/>
      <c r="J22" s="88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3">
        <f t="shared" si="3"/>
        <v>7</v>
      </c>
      <c r="B23" s="76"/>
      <c r="C23" s="80"/>
      <c r="D23" s="69"/>
      <c r="E23" s="69"/>
      <c r="F23" s="74"/>
      <c r="G23" s="74"/>
      <c r="H23" s="64"/>
      <c r="I23" s="89"/>
      <c r="J23" s="90"/>
      <c r="K23" s="75"/>
      <c r="L23" s="15"/>
      <c r="M23" s="15"/>
      <c r="N23" s="75"/>
      <c r="O23" s="75"/>
      <c r="P23" s="15"/>
      <c r="Q23" s="15"/>
      <c r="R23" s="15"/>
      <c r="S23" s="75"/>
      <c r="T23" s="75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3">
        <f t="shared" si="3"/>
        <v>8</v>
      </c>
      <c r="B24" s="79"/>
      <c r="C24" s="82"/>
      <c r="D24" s="83"/>
      <c r="E24" s="69"/>
      <c r="F24" s="74"/>
      <c r="G24" s="74"/>
      <c r="H24" s="64"/>
      <c r="I24" s="89"/>
      <c r="J24" s="90"/>
      <c r="K24" s="75"/>
      <c r="L24" s="15"/>
      <c r="M24" s="15"/>
      <c r="N24" s="75"/>
      <c r="O24" s="75"/>
      <c r="P24" s="15"/>
      <c r="Q24" s="15"/>
      <c r="R24" s="15"/>
      <c r="S24" s="75"/>
      <c r="T24" s="75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3">
        <f t="shared" si="3"/>
        <v>9</v>
      </c>
      <c r="B25" s="76"/>
      <c r="C25" s="80"/>
      <c r="D25" s="81"/>
      <c r="E25" s="78"/>
      <c r="F25" s="74"/>
      <c r="G25" s="74"/>
      <c r="H25" s="64"/>
      <c r="I25" s="89"/>
      <c r="J25" s="90"/>
      <c r="K25" s="75"/>
      <c r="L25" s="15"/>
      <c r="M25" s="15"/>
      <c r="N25" s="75"/>
      <c r="O25" s="75"/>
      <c r="P25" s="15"/>
      <c r="Q25" s="15"/>
      <c r="R25" s="15"/>
      <c r="S25" s="75"/>
      <c r="T25" s="7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3"/>
        <v>10</v>
      </c>
      <c r="B26" s="68"/>
      <c r="C26" s="67"/>
      <c r="D26" s="69"/>
      <c r="E26" s="69"/>
      <c r="F26" s="7"/>
      <c r="G26" s="7"/>
      <c r="H26" s="64"/>
      <c r="I26" s="87"/>
      <c r="J26" s="88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3"/>
        <v>11</v>
      </c>
      <c r="B27" s="68"/>
      <c r="C27" s="67"/>
      <c r="D27" s="69"/>
      <c r="E27" s="69"/>
      <c r="F27" s="7"/>
      <c r="G27" s="7"/>
      <c r="H27" s="64"/>
      <c r="I27" s="87"/>
      <c r="J27" s="88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3"/>
        <v>12</v>
      </c>
      <c r="B28" s="68"/>
      <c r="C28" s="67"/>
      <c r="D28" s="69"/>
      <c r="E28" s="69"/>
      <c r="F28" s="7"/>
      <c r="G28" s="7"/>
      <c r="H28" s="64"/>
      <c r="I28" s="87"/>
      <c r="J28" s="88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3"/>
        <v>13</v>
      </c>
      <c r="B29" s="68"/>
      <c r="C29" s="67"/>
      <c r="D29" s="69"/>
      <c r="E29" s="69"/>
      <c r="F29" s="7"/>
      <c r="G29" s="7"/>
      <c r="H29" s="64"/>
      <c r="I29" s="87"/>
      <c r="J29" s="88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3"/>
        <v>14</v>
      </c>
      <c r="B30" s="68"/>
      <c r="C30" s="84"/>
      <c r="D30" s="78"/>
      <c r="E30" s="77"/>
      <c r="F30" s="7"/>
      <c r="G30" s="74"/>
      <c r="H30" s="64"/>
      <c r="I30" s="89"/>
      <c r="J30" s="90"/>
      <c r="K30" s="75"/>
      <c r="L30" s="15"/>
      <c r="M30" s="91"/>
      <c r="N30" s="75"/>
      <c r="O30" s="75"/>
      <c r="P30" s="75"/>
      <c r="Q30" s="92"/>
      <c r="R30" s="92"/>
      <c r="S30" s="75"/>
      <c r="T30" s="7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3"/>
        <v>15</v>
      </c>
      <c r="B31" s="6"/>
      <c r="C31" s="51"/>
      <c r="D31" s="51"/>
      <c r="E31" s="51"/>
      <c r="F31" s="7"/>
      <c r="G31" s="7"/>
      <c r="H31" s="64"/>
      <c r="I31" s="87"/>
      <c r="J31" s="88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3"/>
        <v>16</v>
      </c>
      <c r="B32" s="6"/>
      <c r="C32" s="51"/>
      <c r="D32" s="51"/>
      <c r="E32" s="51"/>
      <c r="F32" s="7"/>
      <c r="G32" s="7"/>
      <c r="H32" s="64"/>
      <c r="I32" s="8"/>
      <c r="J32" s="32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3"/>
        <v>17</v>
      </c>
      <c r="B33" s="6"/>
      <c r="C33" s="51"/>
      <c r="D33" s="51"/>
      <c r="E33" s="51"/>
      <c r="F33" s="7"/>
      <c r="G33" s="7"/>
      <c r="H33" s="64"/>
      <c r="I33" s="8"/>
      <c r="J33" s="32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3"/>
        <v>18</v>
      </c>
      <c r="B34" s="6"/>
      <c r="C34" s="51"/>
      <c r="D34" s="51"/>
      <c r="E34" s="51"/>
      <c r="F34" s="7"/>
      <c r="G34" s="7"/>
      <c r="H34" s="64"/>
      <c r="I34" s="8"/>
      <c r="J34" s="32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1"/>
      <c r="D35" s="51"/>
      <c r="E35" s="51"/>
      <c r="F35" s="7"/>
      <c r="G35" s="74"/>
      <c r="H35" s="64"/>
      <c r="I35" s="8"/>
      <c r="J35" s="32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1"/>
      <c r="D36" s="51"/>
      <c r="E36" s="51"/>
      <c r="F36" s="7"/>
      <c r="G36" s="7"/>
      <c r="H36" s="64"/>
      <c r="I36" s="8"/>
      <c r="J36" s="32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1"/>
      <c r="D37" s="51"/>
      <c r="E37" s="51"/>
      <c r="F37" s="7"/>
      <c r="G37" s="7"/>
      <c r="H37" s="64"/>
      <c r="I37" s="8"/>
      <c r="J37" s="32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"/>
      <c r="G38" s="7"/>
      <c r="H38" s="64"/>
      <c r="I38" s="8"/>
      <c r="J38" s="32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"/>
      <c r="G39" s="7"/>
      <c r="H39" s="64"/>
      <c r="I39" s="8"/>
      <c r="J39" s="32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"/>
      <c r="G40" s="74"/>
      <c r="H40" s="64"/>
      <c r="I40" s="8"/>
      <c r="J40" s="32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"/>
      <c r="G41" s="7"/>
      <c r="H41" s="64"/>
      <c r="I41" s="8"/>
      <c r="J41" s="32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73</v>
      </c>
      <c r="E42" s="13" t="s">
        <v>74</v>
      </c>
      <c r="F42" s="10">
        <f>SUM(F17:F41)</f>
        <v>250130</v>
      </c>
      <c r="G42" s="10">
        <f t="shared" ref="G42:H42" si="11">SUM(G17:G41)</f>
        <v>0</v>
      </c>
      <c r="H42" s="10">
        <f t="shared" si="11"/>
        <v>0</v>
      </c>
      <c r="I42" s="12" t="s">
        <v>74</v>
      </c>
      <c r="J42" s="10">
        <f>SUM(J17:J41)</f>
        <v>1881</v>
      </c>
      <c r="K42" s="10">
        <f t="shared" ref="K42:T42" si="12">SUM(K17:K41)</f>
        <v>252011</v>
      </c>
      <c r="L42" s="10">
        <f t="shared" si="12"/>
        <v>77543</v>
      </c>
      <c r="M42" s="10">
        <f t="shared" si="12"/>
        <v>2277</v>
      </c>
      <c r="N42" s="10">
        <f t="shared" si="12"/>
        <v>0</v>
      </c>
      <c r="O42" s="10">
        <f t="shared" si="12"/>
        <v>3654</v>
      </c>
      <c r="P42" s="10">
        <f t="shared" si="12"/>
        <v>860</v>
      </c>
      <c r="Q42" s="10">
        <f t="shared" si="12"/>
        <v>37770</v>
      </c>
      <c r="R42" s="10">
        <f t="shared" si="12"/>
        <v>1634</v>
      </c>
      <c r="S42" s="10">
        <f t="shared" si="12"/>
        <v>123738</v>
      </c>
      <c r="T42" s="10">
        <f t="shared" si="12"/>
        <v>375749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75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76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0" t="s">
        <v>77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0" t="s">
        <v>78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0" t="s">
        <v>79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3" t="s">
        <v>10</v>
      </c>
      <c r="C49" s="94"/>
      <c r="D49" s="94"/>
      <c r="E49" s="94"/>
      <c r="F49" s="94"/>
      <c r="G49" s="94"/>
      <c r="H49" s="94"/>
      <c r="I49" s="94"/>
      <c r="J49" s="95"/>
      <c r="K49" s="96"/>
      <c r="L49" s="97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8" t="s">
        <v>80</v>
      </c>
      <c r="C50" s="99"/>
      <c r="D50" s="99"/>
      <c r="E50" s="99"/>
      <c r="F50" s="99"/>
      <c r="G50" s="99"/>
      <c r="H50" s="99"/>
      <c r="I50" s="99"/>
      <c r="J50" s="99"/>
      <c r="K50" s="99"/>
      <c r="L50" s="100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1" t="s">
        <v>11</v>
      </c>
      <c r="C51" s="4" t="s">
        <v>12</v>
      </c>
      <c r="D51" s="4" t="s">
        <v>13</v>
      </c>
      <c r="E51" s="4" t="s">
        <v>14</v>
      </c>
      <c r="F51" s="4" t="s">
        <v>15</v>
      </c>
      <c r="G51" s="4" t="s">
        <v>16</v>
      </c>
      <c r="H51" s="4" t="s">
        <v>17</v>
      </c>
      <c r="I51" s="4" t="s">
        <v>18</v>
      </c>
      <c r="J51" s="4" t="s">
        <v>19</v>
      </c>
      <c r="K51" s="4" t="s">
        <v>20</v>
      </c>
      <c r="L51" s="102" t="s">
        <v>21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1"/>
      <c r="C52" s="44"/>
      <c r="D52" s="4"/>
      <c r="E52" s="44"/>
      <c r="F52" s="11" t="s">
        <v>81</v>
      </c>
      <c r="G52" s="62" t="s">
        <v>82</v>
      </c>
      <c r="H52" s="61" t="s">
        <v>83</v>
      </c>
      <c r="I52" s="61" t="s">
        <v>60</v>
      </c>
      <c r="J52" s="61" t="s">
        <v>84</v>
      </c>
      <c r="K52" s="61" t="s">
        <v>85</v>
      </c>
      <c r="L52" s="103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9"/>
      <c r="B53" s="104" t="s">
        <v>0</v>
      </c>
      <c r="C53" s="53"/>
      <c r="D53" s="35" t="s">
        <v>0</v>
      </c>
      <c r="E53" s="35" t="s">
        <v>86</v>
      </c>
      <c r="F53" s="59" t="s">
        <v>87</v>
      </c>
      <c r="G53" s="37"/>
      <c r="H53" s="37" t="s">
        <v>0</v>
      </c>
      <c r="I53" s="60" t="s">
        <v>88</v>
      </c>
      <c r="J53" s="37" t="s">
        <v>89</v>
      </c>
      <c r="K53" s="37" t="s">
        <v>90</v>
      </c>
      <c r="L53" s="105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3"/>
      <c r="B54" s="106" t="s">
        <v>32</v>
      </c>
      <c r="C54" s="37" t="s">
        <v>32</v>
      </c>
      <c r="D54" s="37" t="s">
        <v>33</v>
      </c>
      <c r="E54" s="37" t="s">
        <v>91</v>
      </c>
      <c r="F54" s="37" t="s">
        <v>91</v>
      </c>
      <c r="G54" s="37" t="s">
        <v>92</v>
      </c>
      <c r="H54" s="37" t="s">
        <v>92</v>
      </c>
      <c r="I54" s="37" t="s">
        <v>91</v>
      </c>
      <c r="J54" s="37" t="s">
        <v>91</v>
      </c>
      <c r="K54" s="37" t="s">
        <v>91</v>
      </c>
      <c r="L54" s="107" t="s">
        <v>93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6" t="s">
        <v>45</v>
      </c>
      <c r="B55" s="108" t="s">
        <v>46</v>
      </c>
      <c r="C55" s="109" t="s">
        <v>94</v>
      </c>
      <c r="D55" s="109" t="s">
        <v>48</v>
      </c>
      <c r="E55" s="109"/>
      <c r="F55" s="110" t="s">
        <v>95</v>
      </c>
      <c r="G55" s="110" t="s">
        <v>95</v>
      </c>
      <c r="H55" s="110" t="s">
        <v>96</v>
      </c>
      <c r="I55" s="110" t="s">
        <v>97</v>
      </c>
      <c r="J55" s="110" t="s">
        <v>97</v>
      </c>
      <c r="K55" s="110" t="s">
        <v>98</v>
      </c>
      <c r="L55" s="111" t="s">
        <v>55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0">
        <f t="shared" ref="B56:D58" si="13">+B17</f>
        <v>6201</v>
      </c>
      <c r="C56" s="50" t="str">
        <f t="shared" si="13"/>
        <v>Program Coordinator III</v>
      </c>
      <c r="D56" s="50" t="str">
        <f t="shared" si="13"/>
        <v>Borja, Connie T. (6/06/23)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63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14">A56+1</f>
        <v>2</v>
      </c>
      <c r="B57" s="50">
        <f t="shared" si="13"/>
        <v>6609</v>
      </c>
      <c r="C57" s="50" t="str">
        <f t="shared" si="13"/>
        <v>Program Coordinator II</v>
      </c>
      <c r="D57" s="50" t="str">
        <f t="shared" si="13"/>
        <v>Taitague II, Michael C. (2/24/25)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5">
        <f t="shared" ref="L57:L60" si="15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14"/>
        <v>3</v>
      </c>
      <c r="B58" s="50">
        <f t="shared" si="13"/>
        <v>6912</v>
      </c>
      <c r="C58" s="50" t="str">
        <f t="shared" si="13"/>
        <v xml:space="preserve">Program Coordinator IV </v>
      </c>
      <c r="D58" s="50" t="str">
        <f t="shared" si="13"/>
        <v>San Nicolas, Melissa (6/17/24)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5">
        <f t="shared" si="15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14"/>
        <v>4</v>
      </c>
      <c r="B59" s="50">
        <f t="shared" ref="B59:D60" si="16">+B20</f>
        <v>6914</v>
      </c>
      <c r="C59" s="50" t="str">
        <f t="shared" si="16"/>
        <v>Administrative Officer</v>
      </c>
      <c r="D59" s="50" t="str">
        <f t="shared" si="16"/>
        <v>Diego, Cherika (5/13/24)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5">
        <f t="shared" si="15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14"/>
        <v>5</v>
      </c>
      <c r="B60" s="50" t="str">
        <f t="shared" si="16"/>
        <v>DSC-24-043</v>
      </c>
      <c r="C60" s="50" t="str">
        <f t="shared" si="16"/>
        <v>Management Analyst ($41,372 @ 60%) LTA</v>
      </c>
      <c r="D60" s="50" t="str">
        <f t="shared" si="16"/>
        <v>Cabanero, Ryan (6/15/24)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5">
        <f t="shared" si="15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14"/>
        <v>6</v>
      </c>
      <c r="B61" s="50"/>
      <c r="C61" s="50"/>
      <c r="D61" s="50"/>
      <c r="E61" s="7"/>
      <c r="F61" s="7"/>
      <c r="G61" s="7"/>
      <c r="H61" s="7"/>
      <c r="I61" s="7"/>
      <c r="J61" s="32"/>
      <c r="K61" s="32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14"/>
        <v>7</v>
      </c>
      <c r="B62" s="50"/>
      <c r="C62" s="50"/>
      <c r="D62" s="50"/>
      <c r="E62" s="7"/>
      <c r="F62" s="7"/>
      <c r="G62" s="7"/>
      <c r="H62" s="7"/>
      <c r="I62" s="7"/>
      <c r="J62" s="32"/>
      <c r="K62" s="32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14"/>
        <v>8</v>
      </c>
      <c r="B63" s="50"/>
      <c r="C63" s="50"/>
      <c r="D63" s="50"/>
      <c r="E63" s="7"/>
      <c r="F63" s="7"/>
      <c r="G63" s="7"/>
      <c r="H63" s="7"/>
      <c r="I63" s="7"/>
      <c r="J63" s="32"/>
      <c r="K63" s="32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14"/>
        <v>9</v>
      </c>
      <c r="B64" s="50"/>
      <c r="C64" s="50"/>
      <c r="D64" s="50"/>
      <c r="E64" s="7"/>
      <c r="F64" s="7"/>
      <c r="G64" s="7"/>
      <c r="H64" s="7"/>
      <c r="I64" s="7"/>
      <c r="J64" s="32"/>
      <c r="K64" s="32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14"/>
        <v>10</v>
      </c>
      <c r="B65" s="50"/>
      <c r="C65" s="50"/>
      <c r="D65" s="50"/>
      <c r="E65" s="7"/>
      <c r="F65" s="7"/>
      <c r="G65" s="7"/>
      <c r="H65" s="7"/>
      <c r="I65" s="7"/>
      <c r="J65" s="32"/>
      <c r="K65" s="32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14"/>
        <v>11</v>
      </c>
      <c r="B66" s="50"/>
      <c r="C66" s="50"/>
      <c r="D66" s="50"/>
      <c r="E66" s="7"/>
      <c r="F66" s="7"/>
      <c r="G66" s="7"/>
      <c r="H66" s="7"/>
      <c r="I66" s="7"/>
      <c r="J66" s="32"/>
      <c r="K66" s="32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14"/>
        <v>12</v>
      </c>
      <c r="B67" s="50"/>
      <c r="C67" s="50"/>
      <c r="D67" s="50"/>
      <c r="E67" s="7"/>
      <c r="F67" s="7"/>
      <c r="G67" s="7"/>
      <c r="H67" s="7"/>
      <c r="I67" s="7"/>
      <c r="J67" s="32"/>
      <c r="K67" s="32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14"/>
        <v>13</v>
      </c>
      <c r="B68" s="50"/>
      <c r="C68" s="50"/>
      <c r="D68" s="50"/>
      <c r="E68" s="7"/>
      <c r="F68" s="7"/>
      <c r="G68" s="7"/>
      <c r="H68" s="7"/>
      <c r="I68" s="7"/>
      <c r="J68" s="32"/>
      <c r="K68" s="32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14"/>
        <v>14</v>
      </c>
      <c r="B69" s="50"/>
      <c r="C69" s="50"/>
      <c r="D69" s="50"/>
      <c r="E69" s="7"/>
      <c r="F69" s="7"/>
      <c r="G69" s="7"/>
      <c r="H69" s="7"/>
      <c r="I69" s="7"/>
      <c r="J69" s="32"/>
      <c r="K69" s="32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14"/>
        <v>15</v>
      </c>
      <c r="B70" s="50"/>
      <c r="C70" s="50"/>
      <c r="D70" s="50"/>
      <c r="E70" s="7"/>
      <c r="F70" s="7"/>
      <c r="G70" s="7"/>
      <c r="H70" s="7"/>
      <c r="I70" s="7"/>
      <c r="J70" s="32"/>
      <c r="K70" s="32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14"/>
        <v>16</v>
      </c>
      <c r="B71" s="50"/>
      <c r="C71" s="50"/>
      <c r="D71" s="50"/>
      <c r="E71" s="7"/>
      <c r="F71" s="7"/>
      <c r="G71" s="7"/>
      <c r="H71" s="7"/>
      <c r="I71" s="7"/>
      <c r="J71" s="32"/>
      <c r="K71" s="32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14"/>
        <v>17</v>
      </c>
      <c r="B72" s="50"/>
      <c r="C72" s="50"/>
      <c r="D72" s="50"/>
      <c r="E72" s="7"/>
      <c r="F72" s="7"/>
      <c r="G72" s="7"/>
      <c r="H72" s="7"/>
      <c r="I72" s="7"/>
      <c r="J72" s="32"/>
      <c r="K72" s="32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14"/>
        <v>18</v>
      </c>
      <c r="B73" s="50"/>
      <c r="C73" s="50"/>
      <c r="D73" s="50"/>
      <c r="E73" s="7"/>
      <c r="F73" s="7"/>
      <c r="G73" s="7"/>
      <c r="H73" s="7"/>
      <c r="I73" s="7"/>
      <c r="J73" s="32"/>
      <c r="K73" s="32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0"/>
      <c r="C74" s="50"/>
      <c r="D74" s="50"/>
      <c r="E74" s="7"/>
      <c r="F74" s="7"/>
      <c r="G74" s="7"/>
      <c r="H74" s="7"/>
      <c r="I74" s="7"/>
      <c r="J74" s="32"/>
      <c r="K74" s="32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0"/>
      <c r="C75" s="50"/>
      <c r="D75" s="50"/>
      <c r="E75" s="7"/>
      <c r="F75" s="7"/>
      <c r="G75" s="7"/>
      <c r="H75" s="7"/>
      <c r="I75" s="7"/>
      <c r="J75" s="32"/>
      <c r="K75" s="32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0"/>
      <c r="C76" s="50"/>
      <c r="D76" s="50"/>
      <c r="E76" s="7"/>
      <c r="F76" s="7"/>
      <c r="G76" s="7"/>
      <c r="H76" s="7"/>
      <c r="I76" s="7"/>
      <c r="J76" s="32"/>
      <c r="K76" s="32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0"/>
      <c r="C77" s="50"/>
      <c r="D77" s="50"/>
      <c r="E77" s="7"/>
      <c r="F77" s="7"/>
      <c r="G77" s="7"/>
      <c r="H77" s="7"/>
      <c r="I77" s="7"/>
      <c r="J77" s="32"/>
      <c r="K77" s="32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0"/>
      <c r="C78" s="50"/>
      <c r="D78" s="50"/>
      <c r="E78" s="7"/>
      <c r="F78" s="7"/>
      <c r="G78" s="7"/>
      <c r="H78" s="7"/>
      <c r="I78" s="7"/>
      <c r="J78" s="32"/>
      <c r="K78" s="32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0"/>
      <c r="C79" s="50"/>
      <c r="D79" s="50"/>
      <c r="E79" s="7"/>
      <c r="F79" s="7"/>
      <c r="G79" s="7"/>
      <c r="H79" s="7"/>
      <c r="I79" s="7"/>
      <c r="J79" s="32"/>
      <c r="K79" s="32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0"/>
      <c r="C80" s="50"/>
      <c r="D80" s="50"/>
      <c r="E80" s="7"/>
      <c r="F80" s="7"/>
      <c r="G80" s="7"/>
      <c r="H80" s="7"/>
      <c r="I80" s="7"/>
      <c r="J80" s="32"/>
      <c r="K80" s="32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73</v>
      </c>
      <c r="E81" s="10">
        <f t="shared" ref="E81:L81" si="17">SUM(E56:E80)</f>
        <v>0</v>
      </c>
      <c r="F81" s="10">
        <f t="shared" si="17"/>
        <v>0</v>
      </c>
      <c r="G81" s="10">
        <f t="shared" si="17"/>
        <v>0</v>
      </c>
      <c r="H81" s="10">
        <f t="shared" si="17"/>
        <v>0</v>
      </c>
      <c r="I81" s="10">
        <f t="shared" si="17"/>
        <v>0</v>
      </c>
      <c r="J81" s="10">
        <f t="shared" si="17"/>
        <v>0</v>
      </c>
      <c r="K81" s="10">
        <f t="shared" si="17"/>
        <v>0</v>
      </c>
      <c r="L81" s="10">
        <f t="shared" si="17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81</v>
      </c>
      <c r="B82" s="3" t="s">
        <v>99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82</v>
      </c>
      <c r="B83" s="3" t="s">
        <v>100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83</v>
      </c>
      <c r="B84" s="3" t="s">
        <v>101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60</v>
      </c>
      <c r="B85" s="3" t="s">
        <v>102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84</v>
      </c>
      <c r="B86" s="3" t="s">
        <v>103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85</v>
      </c>
      <c r="B87" s="3" t="s">
        <v>104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 ht="15.75">
      <c r="A88" s="3"/>
      <c r="B88" s="3"/>
      <c r="C88" s="3"/>
      <c r="D88" s="3"/>
      <c r="E88" s="3"/>
      <c r="F88" s="18" t="s">
        <v>0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16" t="s">
        <v>0</v>
      </c>
      <c r="T88" s="3"/>
      <c r="U88" s="1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74" fitToHeight="0" orientation="landscape" r:id="rId1"/>
  <headerFooter>
    <oddHeader>&amp;C&amp;"Times New Roman,Bold"Government of Guam
Fiscal Year 2025, Quarter 3
Agency Staffing Pattern</oddHeader>
  </headerFooter>
  <rowBreaks count="1" manualBreakCount="1">
    <brk id="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05F26-D37F-4703-AAB3-2DE7802B0F89}">
  <sheetPr>
    <tabColor theme="6" tint="0.79998168889431442"/>
    <pageSetUpPr fitToPage="1"/>
  </sheetPr>
  <dimension ref="A1:BV88"/>
  <sheetViews>
    <sheetView tabSelected="1" view="pageBreakPreview" zoomScale="140" zoomScaleNormal="145" zoomScaleSheetLayoutView="140" zoomScalePageLayoutView="50" workbookViewId="0">
      <selection activeCell="D2" sqref="D2"/>
    </sheetView>
  </sheetViews>
  <sheetFormatPr defaultColWidth="8.77734375" defaultRowHeight="11.25"/>
  <cols>
    <col min="1" max="1" width="3.5546875" style="9" customWidth="1"/>
    <col min="2" max="2" width="5.77734375" style="9" customWidth="1"/>
    <col min="3" max="3" width="21.44140625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162" t="s">
        <v>1</v>
      </c>
      <c r="B2" s="162"/>
      <c r="C2" s="162"/>
      <c r="D2" s="112" t="s">
        <v>160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5"/>
      <c r="B3" s="65"/>
      <c r="C3" s="65"/>
      <c r="D3" s="11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162" t="s">
        <v>2</v>
      </c>
      <c r="B4" s="162"/>
      <c r="C4" s="162"/>
      <c r="D4" s="112" t="s">
        <v>3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5"/>
      <c r="B5" s="65"/>
      <c r="C5" s="65"/>
      <c r="D5" s="11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4.25">
      <c r="A6" s="162" t="s">
        <v>4</v>
      </c>
      <c r="B6" s="162"/>
      <c r="C6" s="65"/>
      <c r="D6" s="126" t="s">
        <v>130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5"/>
      <c r="B7" s="65"/>
      <c r="C7" s="65"/>
      <c r="D7" s="112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162" t="s">
        <v>6</v>
      </c>
      <c r="B8" s="162"/>
      <c r="D8" s="112" t="s">
        <v>106</v>
      </c>
      <c r="E8" s="112" t="s">
        <v>131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16" t="s">
        <v>108</v>
      </c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10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10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11</v>
      </c>
      <c r="C13" s="44" t="s">
        <v>12</v>
      </c>
      <c r="D13" s="4" t="s">
        <v>13</v>
      </c>
      <c r="E13" s="44" t="s">
        <v>14</v>
      </c>
      <c r="F13" s="4" t="s">
        <v>15</v>
      </c>
      <c r="G13" s="31" t="s">
        <v>16</v>
      </c>
      <c r="H13" s="31" t="s">
        <v>17</v>
      </c>
      <c r="I13" s="31" t="s">
        <v>18</v>
      </c>
      <c r="J13" s="58" t="s">
        <v>19</v>
      </c>
      <c r="K13" s="44" t="s">
        <v>20</v>
      </c>
      <c r="L13" s="44" t="s">
        <v>21</v>
      </c>
      <c r="M13" s="4" t="s">
        <v>22</v>
      </c>
      <c r="N13" s="4" t="s">
        <v>23</v>
      </c>
      <c r="O13" s="4" t="s">
        <v>24</v>
      </c>
      <c r="P13" s="4" t="s">
        <v>25</v>
      </c>
      <c r="Q13" s="45" t="s">
        <v>26</v>
      </c>
      <c r="R13" s="58" t="s">
        <v>27</v>
      </c>
      <c r="S13" s="45" t="s">
        <v>28</v>
      </c>
      <c r="T13" s="17" t="s">
        <v>29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9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158" t="s">
        <v>30</v>
      </c>
      <c r="J14" s="159"/>
      <c r="K14" s="21" t="s">
        <v>0</v>
      </c>
      <c r="L14" s="19"/>
      <c r="M14" s="21"/>
      <c r="N14" s="21"/>
      <c r="O14" s="21" t="s">
        <v>31</v>
      </c>
      <c r="P14" s="21"/>
      <c r="Q14" s="46"/>
      <c r="R14" s="47"/>
      <c r="S14" s="22"/>
      <c r="T14" s="22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3"/>
      <c r="B15" s="36" t="s">
        <v>32</v>
      </c>
      <c r="C15" s="37" t="s">
        <v>32</v>
      </c>
      <c r="D15" s="37" t="s">
        <v>33</v>
      </c>
      <c r="E15" s="37" t="s">
        <v>34</v>
      </c>
      <c r="F15" s="37" t="s">
        <v>0</v>
      </c>
      <c r="G15" s="37"/>
      <c r="H15" s="37" t="s">
        <v>0</v>
      </c>
      <c r="I15" s="160"/>
      <c r="J15" s="161"/>
      <c r="K15" s="24" t="s">
        <v>35</v>
      </c>
      <c r="L15" s="20" t="s">
        <v>36</v>
      </c>
      <c r="M15" s="20" t="s">
        <v>37</v>
      </c>
      <c r="N15" s="20" t="s">
        <v>38</v>
      </c>
      <c r="O15" s="20" t="s">
        <v>39</v>
      </c>
      <c r="P15" s="19" t="s">
        <v>40</v>
      </c>
      <c r="Q15" s="34" t="s">
        <v>41</v>
      </c>
      <c r="R15" s="48" t="s">
        <v>42</v>
      </c>
      <c r="S15" s="22" t="s">
        <v>43</v>
      </c>
      <c r="T15" s="25" t="s">
        <v>44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6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57" t="s">
        <v>54</v>
      </c>
      <c r="K16" s="30" t="s">
        <v>55</v>
      </c>
      <c r="L16" s="71" t="s">
        <v>56</v>
      </c>
      <c r="M16" s="27" t="s">
        <v>57</v>
      </c>
      <c r="N16" s="27" t="s">
        <v>58</v>
      </c>
      <c r="O16" s="27" t="s">
        <v>59</v>
      </c>
      <c r="P16" s="29" t="s">
        <v>60</v>
      </c>
      <c r="Q16" s="43" t="s">
        <v>61</v>
      </c>
      <c r="R16" s="49" t="s">
        <v>61</v>
      </c>
      <c r="S16" s="30" t="s">
        <v>62</v>
      </c>
      <c r="T16" s="27" t="s">
        <v>63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127" t="s">
        <v>132</v>
      </c>
      <c r="C17" s="115" t="s">
        <v>133</v>
      </c>
      <c r="D17" s="115" t="s">
        <v>134</v>
      </c>
      <c r="E17" s="115" t="s">
        <v>135</v>
      </c>
      <c r="F17" s="144">
        <v>92903</v>
      </c>
      <c r="G17" s="141">
        <v>0</v>
      </c>
      <c r="H17" s="155">
        <f>+L58</f>
        <v>0</v>
      </c>
      <c r="I17" s="139">
        <v>45766</v>
      </c>
      <c r="J17" s="144">
        <v>1443</v>
      </c>
      <c r="K17" s="144">
        <f>(+F17+G17+H17+J17)</f>
        <v>94346</v>
      </c>
      <c r="L17" s="145">
        <f>+ROUND((K17*0.3077),0)</f>
        <v>29030</v>
      </c>
      <c r="M17" s="141">
        <v>0</v>
      </c>
      <c r="N17" s="155">
        <f>+R58</f>
        <v>0</v>
      </c>
      <c r="O17" s="145">
        <f t="shared" ref="O17:O21" si="0">ROUND((K17*0.0145),0)</f>
        <v>1368</v>
      </c>
      <c r="P17" s="145">
        <v>187</v>
      </c>
      <c r="Q17" s="141">
        <v>0</v>
      </c>
      <c r="R17" s="155">
        <f>+V58</f>
        <v>0</v>
      </c>
      <c r="S17" s="145">
        <f>+L17+M17+N17+O17+P17+Q17+R17</f>
        <v>30585</v>
      </c>
      <c r="T17" s="145">
        <f t="shared" ref="T17:T21" si="1">+K17+S17</f>
        <v>124931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2">A17+1</f>
        <v>2</v>
      </c>
      <c r="B18" s="123" t="s">
        <v>136</v>
      </c>
      <c r="C18" s="117" t="s">
        <v>137</v>
      </c>
      <c r="D18" s="117" t="s">
        <v>138</v>
      </c>
      <c r="E18" s="117" t="s">
        <v>139</v>
      </c>
      <c r="F18" s="133">
        <v>88956</v>
      </c>
      <c r="G18" s="143">
        <v>0</v>
      </c>
      <c r="H18" s="143">
        <f>+L60</f>
        <v>0</v>
      </c>
      <c r="I18" s="136"/>
      <c r="J18" s="143">
        <f>+N60</f>
        <v>0</v>
      </c>
      <c r="K18" s="132">
        <f t="shared" ref="K18:K20" si="3">(+F18+G18+H18+J18)</f>
        <v>88956</v>
      </c>
      <c r="L18" s="132">
        <f>+ROUND((K18*0.3077),0)</f>
        <v>27372</v>
      </c>
      <c r="M18" s="132">
        <v>495</v>
      </c>
      <c r="N18" s="143">
        <f t="shared" ref="N18:N21" si="4">+R60</f>
        <v>0</v>
      </c>
      <c r="O18" s="132">
        <f t="shared" si="0"/>
        <v>1290</v>
      </c>
      <c r="P18" s="132">
        <v>187</v>
      </c>
      <c r="Q18" s="132">
        <v>6117</v>
      </c>
      <c r="R18" s="132">
        <v>298</v>
      </c>
      <c r="S18" s="132">
        <f t="shared" ref="S18:S21" si="5">+L18+M18+N18+O18+P18+Q18+R18</f>
        <v>35759</v>
      </c>
      <c r="T18" s="132">
        <f t="shared" si="1"/>
        <v>124715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2"/>
        <v>3</v>
      </c>
      <c r="B19" s="123" t="s">
        <v>140</v>
      </c>
      <c r="C19" s="117" t="s">
        <v>141</v>
      </c>
      <c r="D19" s="117" t="s">
        <v>142</v>
      </c>
      <c r="E19" s="117" t="s">
        <v>143</v>
      </c>
      <c r="F19" s="133">
        <f>ROUND((68648*0.6),0)</f>
        <v>41189</v>
      </c>
      <c r="G19" s="143">
        <v>0</v>
      </c>
      <c r="H19" s="143">
        <f t="shared" ref="H19:H21" si="6">+L61</f>
        <v>0</v>
      </c>
      <c r="I19" s="136">
        <v>45780</v>
      </c>
      <c r="J19" s="130">
        <f>ROUND((744*0.6),0)</f>
        <v>446</v>
      </c>
      <c r="K19" s="132">
        <f t="shared" si="3"/>
        <v>41635</v>
      </c>
      <c r="L19" s="132">
        <f t="shared" ref="L19:L21" si="7">+ROUND((K19*0.3077),0)</f>
        <v>12811</v>
      </c>
      <c r="M19" s="132">
        <v>495</v>
      </c>
      <c r="N19" s="143">
        <f t="shared" si="4"/>
        <v>0</v>
      </c>
      <c r="O19" s="132">
        <f t="shared" si="0"/>
        <v>604</v>
      </c>
      <c r="P19" s="132">
        <f>ROUND((187*0.6),0)</f>
        <v>112</v>
      </c>
      <c r="Q19" s="132">
        <f>ROUND((9402*0.6),0)</f>
        <v>5641</v>
      </c>
      <c r="R19" s="132">
        <f>ROUND((318*0.6),0)</f>
        <v>191</v>
      </c>
      <c r="S19" s="132">
        <f t="shared" si="5"/>
        <v>19854</v>
      </c>
      <c r="T19" s="132">
        <f t="shared" si="1"/>
        <v>61489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2"/>
        <v>4</v>
      </c>
      <c r="B20" s="123">
        <v>6082</v>
      </c>
      <c r="C20" s="117" t="s">
        <v>144</v>
      </c>
      <c r="D20" s="117" t="s">
        <v>145</v>
      </c>
      <c r="E20" s="117" t="s">
        <v>146</v>
      </c>
      <c r="F20" s="133">
        <v>86219</v>
      </c>
      <c r="G20" s="143">
        <v>0</v>
      </c>
      <c r="H20" s="143">
        <f t="shared" si="6"/>
        <v>0</v>
      </c>
      <c r="I20" s="136">
        <v>46081</v>
      </c>
      <c r="J20" s="143">
        <f>+N62</f>
        <v>0</v>
      </c>
      <c r="K20" s="132">
        <f t="shared" si="3"/>
        <v>86219</v>
      </c>
      <c r="L20" s="132">
        <f t="shared" si="7"/>
        <v>26530</v>
      </c>
      <c r="M20" s="132">
        <v>495</v>
      </c>
      <c r="N20" s="143">
        <f t="shared" si="4"/>
        <v>0</v>
      </c>
      <c r="O20" s="132">
        <f t="shared" si="0"/>
        <v>1250</v>
      </c>
      <c r="P20" s="132">
        <v>187</v>
      </c>
      <c r="Q20" s="132">
        <v>6117</v>
      </c>
      <c r="R20" s="132">
        <v>298</v>
      </c>
      <c r="S20" s="132">
        <f t="shared" si="5"/>
        <v>34877</v>
      </c>
      <c r="T20" s="132">
        <f t="shared" si="1"/>
        <v>121096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2"/>
        <v>5</v>
      </c>
      <c r="B21" s="123">
        <v>6916</v>
      </c>
      <c r="C21" s="117" t="s">
        <v>147</v>
      </c>
      <c r="D21" s="117" t="s">
        <v>148</v>
      </c>
      <c r="E21" s="115" t="s">
        <v>149</v>
      </c>
      <c r="F21" s="133">
        <f>ROUND((54918),0)</f>
        <v>54918</v>
      </c>
      <c r="G21" s="143">
        <v>0</v>
      </c>
      <c r="H21" s="143">
        <f t="shared" si="6"/>
        <v>0</v>
      </c>
      <c r="I21" s="139">
        <v>45853</v>
      </c>
      <c r="J21" s="133">
        <v>443</v>
      </c>
      <c r="K21" s="132">
        <f>(+F21+G21+H21+J21)</f>
        <v>55361</v>
      </c>
      <c r="L21" s="132">
        <f t="shared" si="7"/>
        <v>17035</v>
      </c>
      <c r="M21" s="132">
        <v>495</v>
      </c>
      <c r="N21" s="143">
        <f t="shared" si="4"/>
        <v>0</v>
      </c>
      <c r="O21" s="132">
        <f t="shared" si="0"/>
        <v>803</v>
      </c>
      <c r="P21" s="132">
        <v>187</v>
      </c>
      <c r="Q21" s="132">
        <v>9596</v>
      </c>
      <c r="R21" s="132">
        <v>329</v>
      </c>
      <c r="S21" s="132">
        <f t="shared" si="5"/>
        <v>28445</v>
      </c>
      <c r="T21" s="132">
        <f t="shared" si="1"/>
        <v>83806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2"/>
        <v>6</v>
      </c>
      <c r="B22" s="68"/>
      <c r="C22" s="67"/>
      <c r="D22" s="69"/>
      <c r="E22" s="69"/>
      <c r="F22" s="7"/>
      <c r="G22" s="7"/>
      <c r="H22" s="64"/>
      <c r="I22" s="87"/>
      <c r="J22" s="88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3">
        <f t="shared" si="2"/>
        <v>7</v>
      </c>
      <c r="B23" s="76"/>
      <c r="C23" s="80"/>
      <c r="D23" s="69"/>
      <c r="E23" s="69"/>
      <c r="F23" s="74"/>
      <c r="G23" s="74"/>
      <c r="H23" s="64"/>
      <c r="I23" s="89"/>
      <c r="J23" s="90"/>
      <c r="K23" s="75"/>
      <c r="L23" s="15"/>
      <c r="M23" s="15"/>
      <c r="N23" s="75"/>
      <c r="O23" s="75"/>
      <c r="P23" s="15"/>
      <c r="Q23" s="15"/>
      <c r="R23" s="15"/>
      <c r="S23" s="75"/>
      <c r="T23" s="75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3">
        <f t="shared" si="2"/>
        <v>8</v>
      </c>
      <c r="B24" s="79"/>
      <c r="C24" s="82"/>
      <c r="D24" s="83"/>
      <c r="E24" s="69"/>
      <c r="F24" s="74"/>
      <c r="G24" s="74"/>
      <c r="H24" s="64"/>
      <c r="I24" s="89"/>
      <c r="J24" s="90"/>
      <c r="K24" s="75"/>
      <c r="L24" s="15"/>
      <c r="M24" s="15"/>
      <c r="N24" s="75"/>
      <c r="O24" s="75"/>
      <c r="P24" s="15"/>
      <c r="Q24" s="15"/>
      <c r="R24" s="15"/>
      <c r="S24" s="75"/>
      <c r="T24" s="75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3">
        <f t="shared" si="2"/>
        <v>9</v>
      </c>
      <c r="B25" s="76"/>
      <c r="C25" s="80"/>
      <c r="D25" s="81"/>
      <c r="E25" s="78"/>
      <c r="F25" s="74"/>
      <c r="G25" s="74"/>
      <c r="H25" s="64"/>
      <c r="I25" s="89"/>
      <c r="J25" s="90"/>
      <c r="K25" s="75"/>
      <c r="L25" s="15"/>
      <c r="M25" s="15"/>
      <c r="N25" s="75"/>
      <c r="O25" s="75"/>
      <c r="P25" s="15"/>
      <c r="Q25" s="15"/>
      <c r="R25" s="15"/>
      <c r="S25" s="75"/>
      <c r="T25" s="7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2"/>
        <v>10</v>
      </c>
      <c r="B26" s="68"/>
      <c r="C26" s="67"/>
      <c r="D26" s="69"/>
      <c r="E26" s="69"/>
      <c r="F26" s="7"/>
      <c r="G26" s="7"/>
      <c r="H26" s="64"/>
      <c r="I26" s="87"/>
      <c r="J26" s="88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2"/>
        <v>11</v>
      </c>
      <c r="B27" s="68"/>
      <c r="C27" s="67"/>
      <c r="D27" s="69"/>
      <c r="E27" s="69"/>
      <c r="F27" s="7"/>
      <c r="G27" s="7"/>
      <c r="H27" s="64"/>
      <c r="I27" s="87"/>
      <c r="J27" s="88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2"/>
        <v>12</v>
      </c>
      <c r="B28" s="68"/>
      <c r="C28" s="67"/>
      <c r="D28" s="69"/>
      <c r="E28" s="69"/>
      <c r="F28" s="7"/>
      <c r="G28" s="7"/>
      <c r="H28" s="64"/>
      <c r="I28" s="87"/>
      <c r="J28" s="88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2"/>
        <v>13</v>
      </c>
      <c r="B29" s="68"/>
      <c r="C29" s="67"/>
      <c r="D29" s="69"/>
      <c r="E29" s="69"/>
      <c r="F29" s="7"/>
      <c r="G29" s="7"/>
      <c r="H29" s="64"/>
      <c r="I29" s="87"/>
      <c r="J29" s="88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2"/>
        <v>14</v>
      </c>
      <c r="B30" s="68"/>
      <c r="C30" s="84"/>
      <c r="D30" s="78"/>
      <c r="E30" s="77"/>
      <c r="F30" s="7"/>
      <c r="G30" s="74"/>
      <c r="H30" s="64"/>
      <c r="I30" s="89"/>
      <c r="J30" s="90"/>
      <c r="K30" s="75"/>
      <c r="L30" s="15"/>
      <c r="M30" s="91"/>
      <c r="N30" s="75"/>
      <c r="O30" s="75"/>
      <c r="P30" s="75"/>
      <c r="Q30" s="92"/>
      <c r="R30" s="92"/>
      <c r="S30" s="75"/>
      <c r="T30" s="7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2"/>
        <v>15</v>
      </c>
      <c r="B31" s="6"/>
      <c r="C31" s="51"/>
      <c r="D31" s="51"/>
      <c r="E31" s="51"/>
      <c r="F31" s="7"/>
      <c r="G31" s="7"/>
      <c r="H31" s="64"/>
      <c r="I31" s="87"/>
      <c r="J31" s="88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2"/>
        <v>16</v>
      </c>
      <c r="B32" s="6"/>
      <c r="C32" s="51"/>
      <c r="D32" s="51"/>
      <c r="E32" s="51"/>
      <c r="F32" s="7"/>
      <c r="G32" s="7"/>
      <c r="H32" s="64"/>
      <c r="I32" s="8"/>
      <c r="J32" s="32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2"/>
        <v>17</v>
      </c>
      <c r="B33" s="6"/>
      <c r="C33" s="51"/>
      <c r="D33" s="51"/>
      <c r="E33" s="51"/>
      <c r="F33" s="7"/>
      <c r="G33" s="7"/>
      <c r="H33" s="64"/>
      <c r="I33" s="8"/>
      <c r="J33" s="32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2"/>
        <v>18</v>
      </c>
      <c r="B34" s="6"/>
      <c r="C34" s="51"/>
      <c r="D34" s="51"/>
      <c r="E34" s="51"/>
      <c r="F34" s="7"/>
      <c r="G34" s="7"/>
      <c r="H34" s="64"/>
      <c r="I34" s="8"/>
      <c r="J34" s="32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1"/>
      <c r="D35" s="51"/>
      <c r="E35" s="51"/>
      <c r="F35" s="7"/>
      <c r="G35" s="74"/>
      <c r="H35" s="64"/>
      <c r="I35" s="8"/>
      <c r="J35" s="32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1"/>
      <c r="D36" s="51"/>
      <c r="E36" s="51"/>
      <c r="F36" s="7"/>
      <c r="G36" s="7"/>
      <c r="H36" s="64"/>
      <c r="I36" s="8"/>
      <c r="J36" s="32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1"/>
      <c r="D37" s="51"/>
      <c r="E37" s="51"/>
      <c r="F37" s="7"/>
      <c r="G37" s="7"/>
      <c r="H37" s="64"/>
      <c r="I37" s="8"/>
      <c r="J37" s="32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"/>
      <c r="G38" s="7"/>
      <c r="H38" s="64"/>
      <c r="I38" s="8"/>
      <c r="J38" s="32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"/>
      <c r="G39" s="7"/>
      <c r="H39" s="64"/>
      <c r="I39" s="8"/>
      <c r="J39" s="32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"/>
      <c r="G40" s="74"/>
      <c r="H40" s="64"/>
      <c r="I40" s="8"/>
      <c r="J40" s="32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"/>
      <c r="G41" s="7"/>
      <c r="H41" s="64"/>
      <c r="I41" s="8"/>
      <c r="J41" s="32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73</v>
      </c>
      <c r="E42" s="13" t="s">
        <v>74</v>
      </c>
      <c r="F42" s="10">
        <f>SUM(F17:F41)</f>
        <v>364185</v>
      </c>
      <c r="G42" s="10">
        <f t="shared" ref="G42:H42" si="8">SUM(G17:G41)</f>
        <v>0</v>
      </c>
      <c r="H42" s="10">
        <f t="shared" si="8"/>
        <v>0</v>
      </c>
      <c r="I42" s="12" t="s">
        <v>74</v>
      </c>
      <c r="J42" s="10">
        <f>SUM(J17:J41)</f>
        <v>2332</v>
      </c>
      <c r="K42" s="10">
        <f>SUM(K17:K41)</f>
        <v>366517</v>
      </c>
      <c r="L42" s="10">
        <f t="shared" ref="L42:S42" si="9">SUM(L17:L41)</f>
        <v>112778</v>
      </c>
      <c r="M42" s="10">
        <f t="shared" si="9"/>
        <v>1980</v>
      </c>
      <c r="N42" s="10">
        <f t="shared" si="9"/>
        <v>0</v>
      </c>
      <c r="O42" s="10">
        <f t="shared" si="9"/>
        <v>5315</v>
      </c>
      <c r="P42" s="10">
        <f t="shared" si="9"/>
        <v>860</v>
      </c>
      <c r="Q42" s="10">
        <f t="shared" si="9"/>
        <v>27471</v>
      </c>
      <c r="R42" s="10">
        <f t="shared" si="9"/>
        <v>1116</v>
      </c>
      <c r="S42" s="10">
        <f t="shared" si="9"/>
        <v>149520</v>
      </c>
      <c r="T42" s="10">
        <f>SUM(T17:T41)</f>
        <v>516037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75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76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0" t="s">
        <v>77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0" t="s">
        <v>78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0" t="s">
        <v>79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3" t="s">
        <v>10</v>
      </c>
      <c r="C49" s="94"/>
      <c r="D49" s="94"/>
      <c r="E49" s="94"/>
      <c r="F49" s="94"/>
      <c r="G49" s="94"/>
      <c r="H49" s="94"/>
      <c r="I49" s="94"/>
      <c r="J49" s="95"/>
      <c r="K49" s="96"/>
      <c r="L49" s="97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8" t="s">
        <v>80</v>
      </c>
      <c r="C50" s="99"/>
      <c r="D50" s="99"/>
      <c r="E50" s="99"/>
      <c r="F50" s="99"/>
      <c r="G50" s="99"/>
      <c r="H50" s="99"/>
      <c r="I50" s="99"/>
      <c r="J50" s="99"/>
      <c r="K50" s="99"/>
      <c r="L50" s="100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1" t="s">
        <v>11</v>
      </c>
      <c r="C51" s="4" t="s">
        <v>12</v>
      </c>
      <c r="D51" s="4" t="s">
        <v>13</v>
      </c>
      <c r="E51" s="4" t="s">
        <v>14</v>
      </c>
      <c r="F51" s="4" t="s">
        <v>15</v>
      </c>
      <c r="G51" s="4" t="s">
        <v>16</v>
      </c>
      <c r="H51" s="4" t="s">
        <v>17</v>
      </c>
      <c r="I51" s="4" t="s">
        <v>18</v>
      </c>
      <c r="J51" s="4" t="s">
        <v>19</v>
      </c>
      <c r="K51" s="4" t="s">
        <v>20</v>
      </c>
      <c r="L51" s="102" t="s">
        <v>21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1"/>
      <c r="C52" s="44"/>
      <c r="D52" s="4"/>
      <c r="E52" s="44"/>
      <c r="F52" s="11" t="s">
        <v>81</v>
      </c>
      <c r="G52" s="62" t="s">
        <v>82</v>
      </c>
      <c r="H52" s="61" t="s">
        <v>83</v>
      </c>
      <c r="I52" s="61" t="s">
        <v>60</v>
      </c>
      <c r="J52" s="61" t="s">
        <v>84</v>
      </c>
      <c r="K52" s="61" t="s">
        <v>85</v>
      </c>
      <c r="L52" s="103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9"/>
      <c r="B53" s="104" t="s">
        <v>0</v>
      </c>
      <c r="C53" s="53"/>
      <c r="D53" s="35" t="s">
        <v>0</v>
      </c>
      <c r="E53" s="35" t="s">
        <v>86</v>
      </c>
      <c r="F53" s="59" t="s">
        <v>87</v>
      </c>
      <c r="G53" s="37"/>
      <c r="H53" s="37" t="s">
        <v>0</v>
      </c>
      <c r="I53" s="60" t="s">
        <v>88</v>
      </c>
      <c r="J53" s="37" t="s">
        <v>89</v>
      </c>
      <c r="K53" s="37" t="s">
        <v>90</v>
      </c>
      <c r="L53" s="105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3"/>
      <c r="B54" s="106" t="s">
        <v>32</v>
      </c>
      <c r="C54" s="37" t="s">
        <v>32</v>
      </c>
      <c r="D54" s="37" t="s">
        <v>33</v>
      </c>
      <c r="E54" s="37" t="s">
        <v>91</v>
      </c>
      <c r="F54" s="37" t="s">
        <v>91</v>
      </c>
      <c r="G54" s="37" t="s">
        <v>92</v>
      </c>
      <c r="H54" s="37" t="s">
        <v>92</v>
      </c>
      <c r="I54" s="37" t="s">
        <v>91</v>
      </c>
      <c r="J54" s="37" t="s">
        <v>91</v>
      </c>
      <c r="K54" s="37" t="s">
        <v>91</v>
      </c>
      <c r="L54" s="107" t="s">
        <v>93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6" t="s">
        <v>45</v>
      </c>
      <c r="B55" s="108" t="s">
        <v>46</v>
      </c>
      <c r="C55" s="109" t="s">
        <v>94</v>
      </c>
      <c r="D55" s="109" t="s">
        <v>48</v>
      </c>
      <c r="E55" s="109"/>
      <c r="F55" s="110" t="s">
        <v>95</v>
      </c>
      <c r="G55" s="110" t="s">
        <v>95</v>
      </c>
      <c r="H55" s="110" t="s">
        <v>96</v>
      </c>
      <c r="I55" s="110" t="s">
        <v>97</v>
      </c>
      <c r="J55" s="110" t="s">
        <v>97</v>
      </c>
      <c r="K55" s="110" t="s">
        <v>98</v>
      </c>
      <c r="L55" s="111" t="s">
        <v>55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0" t="str">
        <f t="shared" ref="B56:D60" si="10">+B17</f>
        <v>6205</v>
      </c>
      <c r="C56" s="50" t="str">
        <f t="shared" si="10"/>
        <v>Human Services Program Administrator</v>
      </c>
      <c r="D56" s="50" t="str">
        <f t="shared" si="10"/>
        <v>Krisinda Aguon (12/18/23)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63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11">A56+1</f>
        <v>2</v>
      </c>
      <c r="B57" s="50" t="str">
        <f t="shared" si="10"/>
        <v>6364</v>
      </c>
      <c r="C57" s="50" t="str">
        <f t="shared" si="10"/>
        <v>Social Service Supervisor I</v>
      </c>
      <c r="D57" s="50" t="str">
        <f t="shared" si="10"/>
        <v>Manibusan, Evelyn TU (11/04/19)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5">
        <f t="shared" ref="L57:L60" si="12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11"/>
        <v>3</v>
      </c>
      <c r="B58" s="50" t="str">
        <f t="shared" si="10"/>
        <v>6915</v>
      </c>
      <c r="C58" s="50" t="str">
        <f t="shared" si="10"/>
        <v>Social Worker III ($68,648 @ 60%)</v>
      </c>
      <c r="D58" s="50" t="str">
        <f t="shared" si="10"/>
        <v>Gombar, Michael J. (5/03/21)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5">
        <f t="shared" si="12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11"/>
        <v>4</v>
      </c>
      <c r="B59" s="50">
        <f t="shared" si="10"/>
        <v>6082</v>
      </c>
      <c r="C59" s="50" t="str">
        <f t="shared" si="10"/>
        <v>Program Coordinator IV</v>
      </c>
      <c r="D59" s="50" t="str">
        <f t="shared" si="10"/>
        <v>Gomez, Jeanette M. (4/26/21)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5">
        <f t="shared" si="12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11"/>
        <v>5</v>
      </c>
      <c r="B60" s="50">
        <f t="shared" si="10"/>
        <v>6916</v>
      </c>
      <c r="C60" s="50" t="str">
        <f t="shared" si="10"/>
        <v xml:space="preserve">Social Worker III </v>
      </c>
      <c r="D60" s="50" t="str">
        <f t="shared" si="10"/>
        <v>Ilesugam, Sarita (7/15/24)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5">
        <f t="shared" si="12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11"/>
        <v>6</v>
      </c>
      <c r="B61" s="50"/>
      <c r="C61" s="50"/>
      <c r="D61" s="50"/>
      <c r="E61" s="7"/>
      <c r="F61" s="7"/>
      <c r="G61" s="7"/>
      <c r="H61" s="7"/>
      <c r="I61" s="7"/>
      <c r="J61" s="32"/>
      <c r="K61" s="32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11"/>
        <v>7</v>
      </c>
      <c r="B62" s="50"/>
      <c r="C62" s="50"/>
      <c r="D62" s="50"/>
      <c r="E62" s="7"/>
      <c r="F62" s="7"/>
      <c r="G62" s="7"/>
      <c r="H62" s="7"/>
      <c r="I62" s="7"/>
      <c r="J62" s="32"/>
      <c r="K62" s="32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11"/>
        <v>8</v>
      </c>
      <c r="B63" s="50"/>
      <c r="C63" s="50"/>
      <c r="D63" s="50"/>
      <c r="E63" s="7"/>
      <c r="F63" s="7"/>
      <c r="G63" s="7"/>
      <c r="H63" s="7"/>
      <c r="I63" s="7"/>
      <c r="J63" s="32"/>
      <c r="K63" s="32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11"/>
        <v>9</v>
      </c>
      <c r="B64" s="50"/>
      <c r="C64" s="50"/>
      <c r="D64" s="50"/>
      <c r="E64" s="7"/>
      <c r="F64" s="7"/>
      <c r="G64" s="7"/>
      <c r="H64" s="7"/>
      <c r="I64" s="7"/>
      <c r="J64" s="32"/>
      <c r="K64" s="32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11"/>
        <v>10</v>
      </c>
      <c r="B65" s="50"/>
      <c r="C65" s="50"/>
      <c r="D65" s="50"/>
      <c r="E65" s="7"/>
      <c r="F65" s="7"/>
      <c r="G65" s="7"/>
      <c r="H65" s="7"/>
      <c r="I65" s="7"/>
      <c r="J65" s="32"/>
      <c r="K65" s="32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11"/>
        <v>11</v>
      </c>
      <c r="B66" s="50"/>
      <c r="C66" s="50"/>
      <c r="D66" s="50"/>
      <c r="E66" s="7"/>
      <c r="F66" s="7"/>
      <c r="G66" s="7"/>
      <c r="H66" s="7"/>
      <c r="I66" s="7"/>
      <c r="J66" s="32"/>
      <c r="K66" s="32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11"/>
        <v>12</v>
      </c>
      <c r="B67" s="50"/>
      <c r="C67" s="50"/>
      <c r="D67" s="50"/>
      <c r="E67" s="7"/>
      <c r="F67" s="7"/>
      <c r="G67" s="7"/>
      <c r="H67" s="7"/>
      <c r="I67" s="7"/>
      <c r="J67" s="32"/>
      <c r="K67" s="32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11"/>
        <v>13</v>
      </c>
      <c r="B68" s="50"/>
      <c r="C68" s="50"/>
      <c r="D68" s="50"/>
      <c r="E68" s="7"/>
      <c r="F68" s="7"/>
      <c r="G68" s="7"/>
      <c r="H68" s="7"/>
      <c r="I68" s="7"/>
      <c r="J68" s="32"/>
      <c r="K68" s="32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11"/>
        <v>14</v>
      </c>
      <c r="B69" s="50"/>
      <c r="C69" s="50"/>
      <c r="D69" s="50"/>
      <c r="E69" s="7"/>
      <c r="F69" s="7"/>
      <c r="G69" s="7"/>
      <c r="H69" s="7"/>
      <c r="I69" s="7"/>
      <c r="J69" s="32"/>
      <c r="K69" s="32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11"/>
        <v>15</v>
      </c>
      <c r="B70" s="50"/>
      <c r="C70" s="50"/>
      <c r="D70" s="50"/>
      <c r="E70" s="7"/>
      <c r="F70" s="7"/>
      <c r="G70" s="7"/>
      <c r="H70" s="7"/>
      <c r="I70" s="7"/>
      <c r="J70" s="32"/>
      <c r="K70" s="32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11"/>
        <v>16</v>
      </c>
      <c r="B71" s="50"/>
      <c r="C71" s="50"/>
      <c r="D71" s="50"/>
      <c r="E71" s="7"/>
      <c r="F71" s="7"/>
      <c r="G71" s="7"/>
      <c r="H71" s="7"/>
      <c r="I71" s="7"/>
      <c r="J71" s="32"/>
      <c r="K71" s="32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11"/>
        <v>17</v>
      </c>
      <c r="B72" s="50"/>
      <c r="C72" s="50"/>
      <c r="D72" s="50"/>
      <c r="E72" s="7"/>
      <c r="F72" s="7"/>
      <c r="G72" s="7"/>
      <c r="H72" s="7"/>
      <c r="I72" s="7"/>
      <c r="J72" s="32"/>
      <c r="K72" s="32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11"/>
        <v>18</v>
      </c>
      <c r="B73" s="50"/>
      <c r="C73" s="50"/>
      <c r="D73" s="50"/>
      <c r="E73" s="7"/>
      <c r="F73" s="7"/>
      <c r="G73" s="7"/>
      <c r="H73" s="7"/>
      <c r="I73" s="7"/>
      <c r="J73" s="32"/>
      <c r="K73" s="32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0"/>
      <c r="C74" s="50"/>
      <c r="D74" s="50"/>
      <c r="E74" s="7"/>
      <c r="F74" s="7"/>
      <c r="G74" s="7"/>
      <c r="H74" s="7"/>
      <c r="I74" s="7"/>
      <c r="J74" s="32"/>
      <c r="K74" s="32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0"/>
      <c r="C75" s="50"/>
      <c r="D75" s="50"/>
      <c r="E75" s="7"/>
      <c r="F75" s="7"/>
      <c r="G75" s="7"/>
      <c r="H75" s="7"/>
      <c r="I75" s="7"/>
      <c r="J75" s="32"/>
      <c r="K75" s="32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0"/>
      <c r="C76" s="50"/>
      <c r="D76" s="50"/>
      <c r="E76" s="7"/>
      <c r="F76" s="7"/>
      <c r="G76" s="7"/>
      <c r="H76" s="7"/>
      <c r="I76" s="7"/>
      <c r="J76" s="32"/>
      <c r="K76" s="32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0"/>
      <c r="C77" s="50"/>
      <c r="D77" s="50"/>
      <c r="E77" s="7"/>
      <c r="F77" s="7"/>
      <c r="G77" s="7"/>
      <c r="H77" s="7"/>
      <c r="I77" s="7"/>
      <c r="J77" s="32"/>
      <c r="K77" s="32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0"/>
      <c r="C78" s="50"/>
      <c r="D78" s="50"/>
      <c r="E78" s="7"/>
      <c r="F78" s="7"/>
      <c r="G78" s="7"/>
      <c r="H78" s="7"/>
      <c r="I78" s="7"/>
      <c r="J78" s="32"/>
      <c r="K78" s="32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0"/>
      <c r="C79" s="50"/>
      <c r="D79" s="50"/>
      <c r="E79" s="7"/>
      <c r="F79" s="7"/>
      <c r="G79" s="7"/>
      <c r="H79" s="7"/>
      <c r="I79" s="7"/>
      <c r="J79" s="32"/>
      <c r="K79" s="32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0"/>
      <c r="C80" s="50"/>
      <c r="D80" s="50"/>
      <c r="E80" s="7"/>
      <c r="F80" s="7"/>
      <c r="G80" s="7"/>
      <c r="H80" s="7"/>
      <c r="I80" s="7"/>
      <c r="J80" s="32"/>
      <c r="K80" s="32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73</v>
      </c>
      <c r="E81" s="10">
        <f t="shared" ref="E81:L81" si="13">SUM(E56:E80)</f>
        <v>0</v>
      </c>
      <c r="F81" s="10">
        <f t="shared" si="13"/>
        <v>0</v>
      </c>
      <c r="G81" s="10">
        <f t="shared" si="13"/>
        <v>0</v>
      </c>
      <c r="H81" s="10">
        <f t="shared" si="13"/>
        <v>0</v>
      </c>
      <c r="I81" s="10">
        <f t="shared" si="13"/>
        <v>0</v>
      </c>
      <c r="J81" s="10">
        <f t="shared" si="13"/>
        <v>0</v>
      </c>
      <c r="K81" s="10">
        <f t="shared" si="13"/>
        <v>0</v>
      </c>
      <c r="L81" s="10">
        <f t="shared" si="1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81</v>
      </c>
      <c r="B82" s="3" t="s">
        <v>99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82</v>
      </c>
      <c r="B83" s="3" t="s">
        <v>100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83</v>
      </c>
      <c r="B84" s="3" t="s">
        <v>101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60</v>
      </c>
      <c r="B85" s="3" t="s">
        <v>102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84</v>
      </c>
      <c r="B86" s="3" t="s">
        <v>103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85</v>
      </c>
      <c r="B87" s="3" t="s">
        <v>104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 ht="15.75">
      <c r="A88" s="3"/>
      <c r="B88" s="3"/>
      <c r="C88" s="3"/>
      <c r="D88" s="3"/>
      <c r="E88" s="3"/>
      <c r="F88" s="18" t="s">
        <v>0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16" t="s">
        <v>0</v>
      </c>
      <c r="T88" s="3"/>
      <c r="U88" s="1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</sheetData>
  <mergeCells count="5">
    <mergeCell ref="I14:J15"/>
    <mergeCell ref="A2:C2"/>
    <mergeCell ref="A4:C4"/>
    <mergeCell ref="A6:B6"/>
    <mergeCell ref="A8:B8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77" fitToHeight="0" orientation="landscape" r:id="rId1"/>
  <headerFooter>
    <oddHeader>&amp;C&amp;"Times New Roman,Bold"Government of Guam
Fiscal Year 2025, Quarter 3
Agency Staffing Pattern</oddHead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9E7E9-ACEF-47BA-8ABA-80316C743116}">
  <sheetPr>
    <tabColor theme="6" tint="0.79998168889431442"/>
    <pageSetUpPr fitToPage="1"/>
  </sheetPr>
  <dimension ref="A1:BV87"/>
  <sheetViews>
    <sheetView tabSelected="1" view="pageBreakPreview" zoomScaleNormal="145" zoomScaleSheetLayoutView="100" zoomScalePageLayoutView="50" workbookViewId="0">
      <selection activeCell="D2" sqref="D2"/>
    </sheetView>
  </sheetViews>
  <sheetFormatPr defaultColWidth="8.77734375" defaultRowHeight="11.25"/>
  <cols>
    <col min="1" max="1" width="3.5546875" style="9" customWidth="1"/>
    <col min="2" max="2" width="5.77734375" style="9" customWidth="1"/>
    <col min="3" max="3" width="21.44140625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162" t="s">
        <v>1</v>
      </c>
      <c r="B2" s="162"/>
      <c r="C2" s="162"/>
      <c r="D2" s="112" t="s">
        <v>160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5"/>
      <c r="B3" s="65"/>
      <c r="C3" s="65"/>
      <c r="D3" s="11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162" t="s">
        <v>2</v>
      </c>
      <c r="B4" s="162"/>
      <c r="C4" s="162"/>
      <c r="D4" s="112" t="s">
        <v>3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5"/>
      <c r="B5" s="65"/>
      <c r="C5" s="65"/>
      <c r="D5" s="11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162" t="s">
        <v>4</v>
      </c>
      <c r="B6" s="162"/>
      <c r="C6" s="65"/>
      <c r="D6" s="112" t="s">
        <v>150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5"/>
      <c r="B7" s="65"/>
      <c r="C7" s="65"/>
      <c r="D7" s="112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162" t="s">
        <v>6</v>
      </c>
      <c r="B8" s="162"/>
      <c r="D8" s="112" t="s">
        <v>151</v>
      </c>
      <c r="E8" s="112" t="s">
        <v>152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16" t="s">
        <v>153</v>
      </c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10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10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11</v>
      </c>
      <c r="C13" s="44" t="s">
        <v>12</v>
      </c>
      <c r="D13" s="4" t="s">
        <v>13</v>
      </c>
      <c r="E13" s="44" t="s">
        <v>14</v>
      </c>
      <c r="F13" s="4" t="s">
        <v>15</v>
      </c>
      <c r="G13" s="31" t="s">
        <v>16</v>
      </c>
      <c r="H13" s="31" t="s">
        <v>17</v>
      </c>
      <c r="I13" s="31" t="s">
        <v>18</v>
      </c>
      <c r="J13" s="58" t="s">
        <v>19</v>
      </c>
      <c r="K13" s="44" t="s">
        <v>20</v>
      </c>
      <c r="L13" s="44" t="s">
        <v>21</v>
      </c>
      <c r="M13" s="4" t="s">
        <v>22</v>
      </c>
      <c r="N13" s="4" t="s">
        <v>23</v>
      </c>
      <c r="O13" s="4" t="s">
        <v>24</v>
      </c>
      <c r="P13" s="4" t="s">
        <v>25</v>
      </c>
      <c r="Q13" s="45" t="s">
        <v>26</v>
      </c>
      <c r="R13" s="58" t="s">
        <v>27</v>
      </c>
      <c r="S13" s="45" t="s">
        <v>28</v>
      </c>
      <c r="T13" s="17" t="s">
        <v>29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9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158" t="s">
        <v>30</v>
      </c>
      <c r="J14" s="159"/>
      <c r="K14" s="21" t="s">
        <v>0</v>
      </c>
      <c r="L14" s="19"/>
      <c r="M14" s="21"/>
      <c r="N14" s="21"/>
      <c r="O14" s="21" t="s">
        <v>31</v>
      </c>
      <c r="P14" s="21"/>
      <c r="Q14" s="46"/>
      <c r="R14" s="47"/>
      <c r="S14" s="22"/>
      <c r="T14" s="22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3"/>
      <c r="B15" s="36" t="s">
        <v>32</v>
      </c>
      <c r="C15" s="37" t="s">
        <v>32</v>
      </c>
      <c r="D15" s="37" t="s">
        <v>33</v>
      </c>
      <c r="E15" s="37" t="s">
        <v>34</v>
      </c>
      <c r="F15" s="37" t="s">
        <v>0</v>
      </c>
      <c r="G15" s="37"/>
      <c r="H15" s="37" t="s">
        <v>0</v>
      </c>
      <c r="I15" s="160"/>
      <c r="J15" s="161"/>
      <c r="K15" s="24" t="s">
        <v>35</v>
      </c>
      <c r="L15" s="20" t="s">
        <v>36</v>
      </c>
      <c r="M15" s="20" t="s">
        <v>37</v>
      </c>
      <c r="N15" s="20" t="s">
        <v>38</v>
      </c>
      <c r="O15" s="20" t="s">
        <v>39</v>
      </c>
      <c r="P15" s="19" t="s">
        <v>40</v>
      </c>
      <c r="Q15" s="34" t="s">
        <v>41</v>
      </c>
      <c r="R15" s="48" t="s">
        <v>42</v>
      </c>
      <c r="S15" s="22" t="s">
        <v>43</v>
      </c>
      <c r="T15" s="25" t="s">
        <v>44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6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57" t="s">
        <v>54</v>
      </c>
      <c r="K16" s="30" t="s">
        <v>55</v>
      </c>
      <c r="L16" s="71" t="s">
        <v>56</v>
      </c>
      <c r="M16" s="27" t="s">
        <v>57</v>
      </c>
      <c r="N16" s="27" t="s">
        <v>58</v>
      </c>
      <c r="O16" s="27" t="s">
        <v>59</v>
      </c>
      <c r="P16" s="29" t="s">
        <v>60</v>
      </c>
      <c r="Q16" s="43" t="s">
        <v>61</v>
      </c>
      <c r="R16" s="49" t="s">
        <v>61</v>
      </c>
      <c r="S16" s="30" t="s">
        <v>62</v>
      </c>
      <c r="T16" s="27" t="s">
        <v>63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123" t="s">
        <v>140</v>
      </c>
      <c r="C17" s="117" t="s">
        <v>154</v>
      </c>
      <c r="D17" s="117" t="s">
        <v>142</v>
      </c>
      <c r="E17" s="117" t="s">
        <v>143</v>
      </c>
      <c r="F17" s="154">
        <f>ROUND((68648*0.4),0)</f>
        <v>27459</v>
      </c>
      <c r="G17" s="154">
        <v>0</v>
      </c>
      <c r="H17" s="154">
        <f>SUM(L56)</f>
        <v>0</v>
      </c>
      <c r="I17" s="136">
        <v>45780</v>
      </c>
      <c r="J17" s="144">
        <f>ROUND((744*0.4),0)</f>
        <v>298</v>
      </c>
      <c r="K17" s="144">
        <f>(+F17+G17+H17+J17)</f>
        <v>27757</v>
      </c>
      <c r="L17" s="145">
        <f>+ROUND((K17*0.3077),0)</f>
        <v>8541</v>
      </c>
      <c r="M17" s="144">
        <v>0</v>
      </c>
      <c r="N17" s="145">
        <v>0</v>
      </c>
      <c r="O17" s="145">
        <f t="shared" ref="O17" si="0">ROUND((K17*0.0145),0)</f>
        <v>402</v>
      </c>
      <c r="P17" s="145">
        <f>ROUND((187*0.4),0)</f>
        <v>75</v>
      </c>
      <c r="Q17" s="146">
        <f>ROUND((9402*0.4),0)</f>
        <v>3761</v>
      </c>
      <c r="R17" s="146">
        <f>ROUND((318*0.4),0)</f>
        <v>127</v>
      </c>
      <c r="S17" s="145">
        <f t="shared" ref="S17" si="1">+L17+M17+N17+O17+P17+Q17+R17</f>
        <v>12906</v>
      </c>
      <c r="T17" s="145">
        <f t="shared" ref="T17" si="2">+K17+S17</f>
        <v>40663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3">A17+1</f>
        <v>2</v>
      </c>
      <c r="B18" s="66"/>
      <c r="C18" s="67"/>
      <c r="D18" s="69"/>
      <c r="E18" s="69"/>
      <c r="F18" s="7"/>
      <c r="G18" s="7"/>
      <c r="H18" s="64"/>
      <c r="I18" s="8"/>
      <c r="J18" s="32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3"/>
        <v>3</v>
      </c>
      <c r="B19" s="68"/>
      <c r="C19" s="67"/>
      <c r="D19" s="69"/>
      <c r="E19" s="69"/>
      <c r="F19" s="7"/>
      <c r="G19" s="7"/>
      <c r="H19" s="64"/>
      <c r="I19" s="8"/>
      <c r="J19" s="32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3"/>
        <v>4</v>
      </c>
      <c r="B20" s="68"/>
      <c r="C20" s="67"/>
      <c r="D20" s="69"/>
      <c r="E20" s="69"/>
      <c r="F20" s="7"/>
      <c r="G20" s="7"/>
      <c r="H20" s="64"/>
      <c r="I20" s="8"/>
      <c r="J20" s="32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3"/>
        <v>5</v>
      </c>
      <c r="B21" s="68"/>
      <c r="C21" s="67"/>
      <c r="D21" s="69"/>
      <c r="E21" s="69"/>
      <c r="F21" s="7"/>
      <c r="G21" s="7"/>
      <c r="H21" s="64"/>
      <c r="I21" s="85"/>
      <c r="J21" s="86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3"/>
        <v>6</v>
      </c>
      <c r="B22" s="68"/>
      <c r="C22" s="67"/>
      <c r="D22" s="69"/>
      <c r="E22" s="69"/>
      <c r="F22" s="7"/>
      <c r="G22" s="7"/>
      <c r="H22" s="64"/>
      <c r="I22" s="87"/>
      <c r="J22" s="88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3">
        <f t="shared" si="3"/>
        <v>7</v>
      </c>
      <c r="B23" s="76"/>
      <c r="C23" s="80"/>
      <c r="D23" s="69"/>
      <c r="E23" s="69"/>
      <c r="F23" s="74"/>
      <c r="G23" s="74"/>
      <c r="H23" s="64"/>
      <c r="I23" s="89"/>
      <c r="J23" s="90"/>
      <c r="K23" s="75"/>
      <c r="L23" s="15"/>
      <c r="M23" s="15"/>
      <c r="N23" s="75"/>
      <c r="O23" s="75"/>
      <c r="P23" s="15"/>
      <c r="Q23" s="15"/>
      <c r="R23" s="15"/>
      <c r="S23" s="75"/>
      <c r="T23" s="75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3">
        <f t="shared" si="3"/>
        <v>8</v>
      </c>
      <c r="B24" s="79"/>
      <c r="C24" s="82"/>
      <c r="D24" s="83"/>
      <c r="E24" s="69"/>
      <c r="F24" s="74"/>
      <c r="G24" s="74"/>
      <c r="H24" s="64"/>
      <c r="I24" s="89"/>
      <c r="J24" s="90"/>
      <c r="K24" s="75"/>
      <c r="L24" s="15"/>
      <c r="M24" s="15"/>
      <c r="N24" s="75"/>
      <c r="O24" s="75"/>
      <c r="P24" s="15"/>
      <c r="Q24" s="15"/>
      <c r="R24" s="15"/>
      <c r="S24" s="75"/>
      <c r="T24" s="75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3">
        <f t="shared" si="3"/>
        <v>9</v>
      </c>
      <c r="B25" s="76"/>
      <c r="C25" s="80"/>
      <c r="D25" s="81"/>
      <c r="E25" s="78"/>
      <c r="F25" s="74"/>
      <c r="G25" s="74"/>
      <c r="H25" s="64"/>
      <c r="I25" s="89"/>
      <c r="J25" s="90"/>
      <c r="K25" s="75"/>
      <c r="L25" s="15"/>
      <c r="M25" s="15"/>
      <c r="N25" s="75"/>
      <c r="O25" s="75"/>
      <c r="P25" s="15"/>
      <c r="Q25" s="15"/>
      <c r="R25" s="15"/>
      <c r="S25" s="75"/>
      <c r="T25" s="7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3"/>
        <v>10</v>
      </c>
      <c r="B26" s="68"/>
      <c r="C26" s="67"/>
      <c r="D26" s="69"/>
      <c r="E26" s="69"/>
      <c r="F26" s="7"/>
      <c r="G26" s="7"/>
      <c r="H26" s="64"/>
      <c r="I26" s="87"/>
      <c r="J26" s="88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3"/>
        <v>11</v>
      </c>
      <c r="B27" s="68"/>
      <c r="C27" s="67"/>
      <c r="D27" s="69"/>
      <c r="E27" s="69"/>
      <c r="F27" s="7"/>
      <c r="G27" s="7"/>
      <c r="H27" s="64"/>
      <c r="I27" s="87"/>
      <c r="J27" s="88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3"/>
        <v>12</v>
      </c>
      <c r="B28" s="68"/>
      <c r="C28" s="67"/>
      <c r="D28" s="69"/>
      <c r="E28" s="69"/>
      <c r="F28" s="7"/>
      <c r="G28" s="7"/>
      <c r="H28" s="64"/>
      <c r="I28" s="87"/>
      <c r="J28" s="88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3"/>
        <v>13</v>
      </c>
      <c r="B29" s="68"/>
      <c r="C29" s="67"/>
      <c r="D29" s="69"/>
      <c r="E29" s="69"/>
      <c r="F29" s="7"/>
      <c r="G29" s="7"/>
      <c r="H29" s="64"/>
      <c r="I29" s="87"/>
      <c r="J29" s="88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3"/>
        <v>14</v>
      </c>
      <c r="B30" s="68"/>
      <c r="C30" s="84"/>
      <c r="D30" s="78"/>
      <c r="E30" s="77"/>
      <c r="F30" s="7"/>
      <c r="G30" s="74"/>
      <c r="H30" s="64"/>
      <c r="I30" s="89"/>
      <c r="J30" s="90"/>
      <c r="K30" s="75"/>
      <c r="L30" s="15"/>
      <c r="M30" s="91"/>
      <c r="N30" s="75"/>
      <c r="O30" s="75"/>
      <c r="P30" s="75"/>
      <c r="Q30" s="92"/>
      <c r="R30" s="92"/>
      <c r="S30" s="75"/>
      <c r="T30" s="7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3"/>
        <v>15</v>
      </c>
      <c r="B31" s="6"/>
      <c r="C31" s="51"/>
      <c r="D31" s="51"/>
      <c r="E31" s="51"/>
      <c r="F31" s="7"/>
      <c r="G31" s="7"/>
      <c r="H31" s="64"/>
      <c r="I31" s="87"/>
      <c r="J31" s="88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3"/>
        <v>16</v>
      </c>
      <c r="B32" s="6"/>
      <c r="C32" s="51"/>
      <c r="D32" s="51"/>
      <c r="E32" s="51"/>
      <c r="F32" s="7"/>
      <c r="G32" s="7"/>
      <c r="H32" s="64"/>
      <c r="I32" s="8"/>
      <c r="J32" s="32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3"/>
        <v>17</v>
      </c>
      <c r="B33" s="6"/>
      <c r="C33" s="51"/>
      <c r="D33" s="51"/>
      <c r="E33" s="51"/>
      <c r="F33" s="7"/>
      <c r="G33" s="7"/>
      <c r="H33" s="64"/>
      <c r="I33" s="8"/>
      <c r="J33" s="32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3"/>
        <v>18</v>
      </c>
      <c r="B34" s="6"/>
      <c r="C34" s="51"/>
      <c r="D34" s="51"/>
      <c r="E34" s="51"/>
      <c r="F34" s="7"/>
      <c r="G34" s="7"/>
      <c r="H34" s="64"/>
      <c r="I34" s="8"/>
      <c r="J34" s="32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1"/>
      <c r="D35" s="51"/>
      <c r="E35" s="51"/>
      <c r="F35" s="7"/>
      <c r="G35" s="74"/>
      <c r="H35" s="64"/>
      <c r="I35" s="8"/>
      <c r="J35" s="32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1"/>
      <c r="D36" s="51"/>
      <c r="E36" s="51"/>
      <c r="F36" s="7"/>
      <c r="G36" s="7"/>
      <c r="H36" s="64"/>
      <c r="I36" s="8"/>
      <c r="J36" s="32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1"/>
      <c r="D37" s="51"/>
      <c r="E37" s="51"/>
      <c r="F37" s="7"/>
      <c r="G37" s="7"/>
      <c r="H37" s="64"/>
      <c r="I37" s="8"/>
      <c r="J37" s="32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"/>
      <c r="G38" s="7"/>
      <c r="H38" s="64"/>
      <c r="I38" s="8"/>
      <c r="J38" s="32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"/>
      <c r="G39" s="7"/>
      <c r="H39" s="64"/>
      <c r="I39" s="8"/>
      <c r="J39" s="32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"/>
      <c r="G40" s="74"/>
      <c r="H40" s="64"/>
      <c r="I40" s="8"/>
      <c r="J40" s="32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"/>
      <c r="G41" s="7"/>
      <c r="H41" s="64"/>
      <c r="I41" s="8"/>
      <c r="J41" s="32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73</v>
      </c>
      <c r="E42" s="13" t="s">
        <v>74</v>
      </c>
      <c r="F42" s="10">
        <f>SUM(F17:F41)</f>
        <v>27459</v>
      </c>
      <c r="G42" s="10">
        <f t="shared" ref="G42:H42" si="4">SUM(G17:G41)</f>
        <v>0</v>
      </c>
      <c r="H42" s="10">
        <f t="shared" si="4"/>
        <v>0</v>
      </c>
      <c r="I42" s="12" t="s">
        <v>74</v>
      </c>
      <c r="J42" s="10">
        <f>SUM(J17:J41)</f>
        <v>298</v>
      </c>
      <c r="K42" s="10">
        <f>SUM(K17:K41)</f>
        <v>27757</v>
      </c>
      <c r="L42" s="10">
        <f t="shared" ref="L42:S42" si="5">SUM(L17:L41)</f>
        <v>8541</v>
      </c>
      <c r="M42" s="10">
        <f t="shared" si="5"/>
        <v>0</v>
      </c>
      <c r="N42" s="10">
        <f t="shared" si="5"/>
        <v>0</v>
      </c>
      <c r="O42" s="10">
        <f t="shared" si="5"/>
        <v>402</v>
      </c>
      <c r="P42" s="10">
        <f t="shared" si="5"/>
        <v>75</v>
      </c>
      <c r="Q42" s="10">
        <f t="shared" si="5"/>
        <v>3761</v>
      </c>
      <c r="R42" s="10">
        <f t="shared" si="5"/>
        <v>127</v>
      </c>
      <c r="S42" s="10">
        <f t="shared" si="5"/>
        <v>12906</v>
      </c>
      <c r="T42" s="10">
        <f>SUM(T17:T41)</f>
        <v>40663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75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76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0" t="s">
        <v>77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0" t="s">
        <v>78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0" t="s">
        <v>79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3" t="s">
        <v>10</v>
      </c>
      <c r="C49" s="94"/>
      <c r="D49" s="94"/>
      <c r="E49" s="94"/>
      <c r="F49" s="94"/>
      <c r="G49" s="94"/>
      <c r="H49" s="94"/>
      <c r="I49" s="94"/>
      <c r="J49" s="95"/>
      <c r="K49" s="96"/>
      <c r="L49" s="97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8" t="s">
        <v>80</v>
      </c>
      <c r="C50" s="99"/>
      <c r="D50" s="99"/>
      <c r="E50" s="99"/>
      <c r="F50" s="99"/>
      <c r="G50" s="99"/>
      <c r="H50" s="99"/>
      <c r="I50" s="99"/>
      <c r="J50" s="99"/>
      <c r="K50" s="99"/>
      <c r="L50" s="100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1" t="s">
        <v>11</v>
      </c>
      <c r="C51" s="4" t="s">
        <v>12</v>
      </c>
      <c r="D51" s="4" t="s">
        <v>13</v>
      </c>
      <c r="E51" s="4" t="s">
        <v>14</v>
      </c>
      <c r="F51" s="4" t="s">
        <v>15</v>
      </c>
      <c r="G51" s="4" t="s">
        <v>16</v>
      </c>
      <c r="H51" s="4" t="s">
        <v>17</v>
      </c>
      <c r="I51" s="4" t="s">
        <v>18</v>
      </c>
      <c r="J51" s="4" t="s">
        <v>19</v>
      </c>
      <c r="K51" s="4" t="s">
        <v>20</v>
      </c>
      <c r="L51" s="102" t="s">
        <v>21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1"/>
      <c r="C52" s="44"/>
      <c r="D52" s="4"/>
      <c r="E52" s="44"/>
      <c r="F52" s="11" t="s">
        <v>81</v>
      </c>
      <c r="G52" s="62" t="s">
        <v>82</v>
      </c>
      <c r="H52" s="61" t="s">
        <v>83</v>
      </c>
      <c r="I52" s="61" t="s">
        <v>60</v>
      </c>
      <c r="J52" s="61" t="s">
        <v>84</v>
      </c>
      <c r="K52" s="61" t="s">
        <v>85</v>
      </c>
      <c r="L52" s="103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9"/>
      <c r="B53" s="104" t="s">
        <v>0</v>
      </c>
      <c r="C53" s="53"/>
      <c r="D53" s="35" t="s">
        <v>0</v>
      </c>
      <c r="E53" s="35" t="s">
        <v>86</v>
      </c>
      <c r="F53" s="59" t="s">
        <v>87</v>
      </c>
      <c r="G53" s="37"/>
      <c r="H53" s="37" t="s">
        <v>0</v>
      </c>
      <c r="I53" s="60" t="s">
        <v>88</v>
      </c>
      <c r="J53" s="37" t="s">
        <v>89</v>
      </c>
      <c r="K53" s="37" t="s">
        <v>90</v>
      </c>
      <c r="L53" s="105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3"/>
      <c r="B54" s="106" t="s">
        <v>32</v>
      </c>
      <c r="C54" s="37" t="s">
        <v>32</v>
      </c>
      <c r="D54" s="37" t="s">
        <v>33</v>
      </c>
      <c r="E54" s="37" t="s">
        <v>91</v>
      </c>
      <c r="F54" s="37" t="s">
        <v>91</v>
      </c>
      <c r="G54" s="37" t="s">
        <v>92</v>
      </c>
      <c r="H54" s="37" t="s">
        <v>92</v>
      </c>
      <c r="I54" s="37" t="s">
        <v>91</v>
      </c>
      <c r="J54" s="37" t="s">
        <v>91</v>
      </c>
      <c r="K54" s="37" t="s">
        <v>91</v>
      </c>
      <c r="L54" s="107" t="s">
        <v>93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6" t="s">
        <v>45</v>
      </c>
      <c r="B55" s="108" t="s">
        <v>46</v>
      </c>
      <c r="C55" s="109" t="s">
        <v>94</v>
      </c>
      <c r="D55" s="109" t="s">
        <v>48</v>
      </c>
      <c r="E55" s="109"/>
      <c r="F55" s="110" t="s">
        <v>95</v>
      </c>
      <c r="G55" s="110" t="s">
        <v>95</v>
      </c>
      <c r="H55" s="110" t="s">
        <v>96</v>
      </c>
      <c r="I55" s="110" t="s">
        <v>97</v>
      </c>
      <c r="J55" s="110" t="s">
        <v>97</v>
      </c>
      <c r="K55" s="110" t="s">
        <v>98</v>
      </c>
      <c r="L55" s="111" t="s">
        <v>55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0" t="str">
        <f t="shared" ref="B56:D56" si="6">+B17</f>
        <v>6915</v>
      </c>
      <c r="C56" s="50" t="str">
        <f t="shared" si="6"/>
        <v>Social Worker III ($68,648 @ 40%)</v>
      </c>
      <c r="D56" s="50" t="str">
        <f t="shared" si="6"/>
        <v>Gombar, Michael J. (5/03/21)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63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7">A56+1</f>
        <v>2</v>
      </c>
      <c r="B57" s="50"/>
      <c r="C57" s="50"/>
      <c r="D57" s="50"/>
      <c r="E57" s="7"/>
      <c r="F57" s="7"/>
      <c r="G57" s="7"/>
      <c r="H57" s="7"/>
      <c r="I57" s="7"/>
      <c r="J57" s="32"/>
      <c r="K57" s="32"/>
      <c r="L57" s="15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7"/>
        <v>3</v>
      </c>
      <c r="B58" s="50"/>
      <c r="C58" s="50"/>
      <c r="D58" s="50"/>
      <c r="E58" s="7"/>
      <c r="F58" s="7"/>
      <c r="G58" s="7"/>
      <c r="H58" s="7"/>
      <c r="I58" s="7"/>
      <c r="J58" s="32"/>
      <c r="K58" s="32"/>
      <c r="L58" s="15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7"/>
        <v>4</v>
      </c>
      <c r="B59" s="50"/>
      <c r="C59" s="50"/>
      <c r="D59" s="50"/>
      <c r="E59" s="7"/>
      <c r="F59" s="7"/>
      <c r="G59" s="7"/>
      <c r="H59" s="7"/>
      <c r="I59" s="7"/>
      <c r="J59" s="32"/>
      <c r="K59" s="32"/>
      <c r="L59" s="15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7"/>
        <v>5</v>
      </c>
      <c r="B60" s="50"/>
      <c r="C60" s="50"/>
      <c r="D60" s="50"/>
      <c r="E60" s="7"/>
      <c r="F60" s="7"/>
      <c r="G60" s="7"/>
      <c r="H60" s="7"/>
      <c r="I60" s="7"/>
      <c r="J60" s="32"/>
      <c r="K60" s="32"/>
      <c r="L60" s="15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7"/>
        <v>6</v>
      </c>
      <c r="B61" s="50"/>
      <c r="C61" s="50"/>
      <c r="D61" s="50"/>
      <c r="E61" s="7"/>
      <c r="F61" s="7"/>
      <c r="G61" s="7"/>
      <c r="H61" s="7"/>
      <c r="I61" s="7"/>
      <c r="J61" s="32"/>
      <c r="K61" s="32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7"/>
        <v>7</v>
      </c>
      <c r="B62" s="50"/>
      <c r="C62" s="50"/>
      <c r="D62" s="50"/>
      <c r="E62" s="7"/>
      <c r="F62" s="7"/>
      <c r="G62" s="7"/>
      <c r="H62" s="7"/>
      <c r="I62" s="7"/>
      <c r="J62" s="32"/>
      <c r="K62" s="32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7"/>
        <v>8</v>
      </c>
      <c r="B63" s="50"/>
      <c r="C63" s="50"/>
      <c r="D63" s="50"/>
      <c r="E63" s="7"/>
      <c r="F63" s="7"/>
      <c r="G63" s="7"/>
      <c r="H63" s="7"/>
      <c r="I63" s="7"/>
      <c r="J63" s="32"/>
      <c r="K63" s="32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7"/>
        <v>9</v>
      </c>
      <c r="B64" s="50"/>
      <c r="C64" s="50"/>
      <c r="D64" s="50"/>
      <c r="E64" s="7"/>
      <c r="F64" s="7"/>
      <c r="G64" s="7"/>
      <c r="H64" s="7"/>
      <c r="I64" s="7"/>
      <c r="J64" s="32"/>
      <c r="K64" s="32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7"/>
        <v>10</v>
      </c>
      <c r="B65" s="50"/>
      <c r="C65" s="50"/>
      <c r="D65" s="50"/>
      <c r="E65" s="7"/>
      <c r="F65" s="7"/>
      <c r="G65" s="7"/>
      <c r="H65" s="7"/>
      <c r="I65" s="7"/>
      <c r="J65" s="32"/>
      <c r="K65" s="32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7"/>
        <v>11</v>
      </c>
      <c r="B66" s="50"/>
      <c r="C66" s="50"/>
      <c r="D66" s="50"/>
      <c r="E66" s="7"/>
      <c r="F66" s="7"/>
      <c r="G66" s="7"/>
      <c r="H66" s="7"/>
      <c r="I66" s="7"/>
      <c r="J66" s="32"/>
      <c r="K66" s="32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7"/>
        <v>12</v>
      </c>
      <c r="B67" s="50"/>
      <c r="C67" s="50"/>
      <c r="D67" s="50"/>
      <c r="E67" s="7"/>
      <c r="F67" s="7"/>
      <c r="G67" s="7"/>
      <c r="H67" s="7"/>
      <c r="I67" s="7"/>
      <c r="J67" s="32"/>
      <c r="K67" s="32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7"/>
        <v>13</v>
      </c>
      <c r="B68" s="50"/>
      <c r="C68" s="50"/>
      <c r="D68" s="50"/>
      <c r="E68" s="7"/>
      <c r="F68" s="7"/>
      <c r="G68" s="7"/>
      <c r="H68" s="7"/>
      <c r="I68" s="7"/>
      <c r="J68" s="32"/>
      <c r="K68" s="32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7"/>
        <v>14</v>
      </c>
      <c r="B69" s="50"/>
      <c r="C69" s="50"/>
      <c r="D69" s="50"/>
      <c r="E69" s="7"/>
      <c r="F69" s="7"/>
      <c r="G69" s="7"/>
      <c r="H69" s="7"/>
      <c r="I69" s="7"/>
      <c r="J69" s="32"/>
      <c r="K69" s="32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7"/>
        <v>15</v>
      </c>
      <c r="B70" s="50"/>
      <c r="C70" s="50"/>
      <c r="D70" s="50"/>
      <c r="E70" s="7"/>
      <c r="F70" s="7"/>
      <c r="G70" s="7"/>
      <c r="H70" s="7"/>
      <c r="I70" s="7"/>
      <c r="J70" s="32"/>
      <c r="K70" s="32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7"/>
        <v>16</v>
      </c>
      <c r="B71" s="50"/>
      <c r="C71" s="50"/>
      <c r="D71" s="50"/>
      <c r="E71" s="7"/>
      <c r="F71" s="7"/>
      <c r="G71" s="7"/>
      <c r="H71" s="7"/>
      <c r="I71" s="7"/>
      <c r="J71" s="32"/>
      <c r="K71" s="32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7"/>
        <v>17</v>
      </c>
      <c r="B72" s="50"/>
      <c r="C72" s="50"/>
      <c r="D72" s="50"/>
      <c r="E72" s="7"/>
      <c r="F72" s="7"/>
      <c r="G72" s="7"/>
      <c r="H72" s="7"/>
      <c r="I72" s="7"/>
      <c r="J72" s="32"/>
      <c r="K72" s="32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7"/>
        <v>18</v>
      </c>
      <c r="B73" s="50"/>
      <c r="C73" s="50"/>
      <c r="D73" s="50"/>
      <c r="E73" s="7"/>
      <c r="F73" s="7"/>
      <c r="G73" s="7"/>
      <c r="H73" s="7"/>
      <c r="I73" s="7"/>
      <c r="J73" s="32"/>
      <c r="K73" s="32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0"/>
      <c r="C74" s="50"/>
      <c r="D74" s="50"/>
      <c r="E74" s="7"/>
      <c r="F74" s="7"/>
      <c r="G74" s="7"/>
      <c r="H74" s="7"/>
      <c r="I74" s="7"/>
      <c r="J74" s="32"/>
      <c r="K74" s="32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0"/>
      <c r="C75" s="50"/>
      <c r="D75" s="50"/>
      <c r="E75" s="7"/>
      <c r="F75" s="7"/>
      <c r="G75" s="7"/>
      <c r="H75" s="7"/>
      <c r="I75" s="7"/>
      <c r="J75" s="32"/>
      <c r="K75" s="32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0"/>
      <c r="C76" s="50"/>
      <c r="D76" s="50"/>
      <c r="E76" s="7"/>
      <c r="F76" s="7"/>
      <c r="G76" s="7"/>
      <c r="H76" s="7"/>
      <c r="I76" s="7"/>
      <c r="J76" s="32"/>
      <c r="K76" s="32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0"/>
      <c r="C77" s="50"/>
      <c r="D77" s="50"/>
      <c r="E77" s="7"/>
      <c r="F77" s="7"/>
      <c r="G77" s="7"/>
      <c r="H77" s="7"/>
      <c r="I77" s="7"/>
      <c r="J77" s="32"/>
      <c r="K77" s="32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0"/>
      <c r="C78" s="50"/>
      <c r="D78" s="50"/>
      <c r="E78" s="7"/>
      <c r="F78" s="7"/>
      <c r="G78" s="7"/>
      <c r="H78" s="7"/>
      <c r="I78" s="7"/>
      <c r="J78" s="32"/>
      <c r="K78" s="32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0"/>
      <c r="C79" s="50"/>
      <c r="D79" s="50"/>
      <c r="E79" s="7"/>
      <c r="F79" s="7"/>
      <c r="G79" s="7"/>
      <c r="H79" s="7"/>
      <c r="I79" s="7"/>
      <c r="J79" s="32"/>
      <c r="K79" s="32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0"/>
      <c r="C80" s="50"/>
      <c r="D80" s="50"/>
      <c r="E80" s="7"/>
      <c r="F80" s="7"/>
      <c r="G80" s="7"/>
      <c r="H80" s="7"/>
      <c r="I80" s="7"/>
      <c r="J80" s="32"/>
      <c r="K80" s="32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73</v>
      </c>
      <c r="E81" s="10">
        <f t="shared" ref="E81:L81" si="8">SUM(E56:E80)</f>
        <v>0</v>
      </c>
      <c r="F81" s="10">
        <f t="shared" si="8"/>
        <v>0</v>
      </c>
      <c r="G81" s="10">
        <f t="shared" si="8"/>
        <v>0</v>
      </c>
      <c r="H81" s="10">
        <f t="shared" si="8"/>
        <v>0</v>
      </c>
      <c r="I81" s="10">
        <f t="shared" si="8"/>
        <v>0</v>
      </c>
      <c r="J81" s="10">
        <f t="shared" si="8"/>
        <v>0</v>
      </c>
      <c r="K81" s="10">
        <f t="shared" si="8"/>
        <v>0</v>
      </c>
      <c r="L81" s="10">
        <f t="shared" si="8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81</v>
      </c>
      <c r="B82" s="3" t="s">
        <v>99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82</v>
      </c>
      <c r="B83" s="3" t="s">
        <v>100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83</v>
      </c>
      <c r="B84" s="3" t="s">
        <v>101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60</v>
      </c>
      <c r="B85" s="3" t="s">
        <v>102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84</v>
      </c>
      <c r="B86" s="3" t="s">
        <v>103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85</v>
      </c>
      <c r="B87" s="3" t="s">
        <v>104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</sheetData>
  <mergeCells count="5">
    <mergeCell ref="I14:J15"/>
    <mergeCell ref="A2:C2"/>
    <mergeCell ref="A4:C4"/>
    <mergeCell ref="A6:B6"/>
    <mergeCell ref="A8:B8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77" fitToHeight="0" orientation="landscape" r:id="rId1"/>
  <headerFooter>
    <oddHeader>&amp;C&amp;"Times New Roman,Bold"Government of Guam
Fiscal Year 2025, Quarter 3
Agency Staffing Pattern</oddHeader>
  </headerFooter>
  <rowBreaks count="1" manualBreakCount="1">
    <brk id="4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E1675-3427-4BAC-8585-0908BA0BB29C}">
  <sheetPr>
    <tabColor theme="6" tint="0.79998168889431442"/>
    <pageSetUpPr fitToPage="1"/>
  </sheetPr>
  <dimension ref="A1:BV88"/>
  <sheetViews>
    <sheetView tabSelected="1" view="pageBreakPreview" zoomScale="145" zoomScaleNormal="145" zoomScaleSheetLayoutView="145" zoomScalePageLayoutView="50" workbookViewId="0">
      <selection activeCell="D2" sqref="D2"/>
    </sheetView>
  </sheetViews>
  <sheetFormatPr defaultColWidth="8.77734375" defaultRowHeight="11.25"/>
  <cols>
    <col min="1" max="1" width="3.5546875" style="9" customWidth="1"/>
    <col min="2" max="2" width="7.77734375" style="9" customWidth="1"/>
    <col min="3" max="3" width="26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162" t="s">
        <v>1</v>
      </c>
      <c r="B2" s="162"/>
      <c r="C2" s="162"/>
      <c r="D2" s="112" t="s">
        <v>160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5"/>
      <c r="B3" s="65"/>
      <c r="C3" s="65"/>
      <c r="D3" s="11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162" t="s">
        <v>2</v>
      </c>
      <c r="B4" s="162"/>
      <c r="C4" s="162"/>
      <c r="D4" s="112" t="s">
        <v>3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5"/>
      <c r="B5" s="65"/>
      <c r="C5" s="65"/>
      <c r="D5" s="11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162" t="s">
        <v>4</v>
      </c>
      <c r="B6" s="162"/>
      <c r="C6" s="65"/>
      <c r="D6" s="112" t="s">
        <v>155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5"/>
      <c r="B7" s="65"/>
      <c r="C7" s="65"/>
      <c r="D7" s="112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162" t="s">
        <v>6</v>
      </c>
      <c r="B8" s="162"/>
      <c r="D8" s="112" t="s">
        <v>151</v>
      </c>
      <c r="E8" s="112" t="s">
        <v>156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16" t="s">
        <v>153</v>
      </c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10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10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11</v>
      </c>
      <c r="C13" s="44" t="s">
        <v>12</v>
      </c>
      <c r="D13" s="4" t="s">
        <v>13</v>
      </c>
      <c r="E13" s="44" t="s">
        <v>14</v>
      </c>
      <c r="F13" s="4" t="s">
        <v>15</v>
      </c>
      <c r="G13" s="31" t="s">
        <v>16</v>
      </c>
      <c r="H13" s="31" t="s">
        <v>17</v>
      </c>
      <c r="I13" s="31" t="s">
        <v>18</v>
      </c>
      <c r="J13" s="58" t="s">
        <v>19</v>
      </c>
      <c r="K13" s="44" t="s">
        <v>20</v>
      </c>
      <c r="L13" s="44" t="s">
        <v>21</v>
      </c>
      <c r="M13" s="4" t="s">
        <v>22</v>
      </c>
      <c r="N13" s="4" t="s">
        <v>23</v>
      </c>
      <c r="O13" s="4" t="s">
        <v>24</v>
      </c>
      <c r="P13" s="4" t="s">
        <v>25</v>
      </c>
      <c r="Q13" s="45" t="s">
        <v>26</v>
      </c>
      <c r="R13" s="58" t="s">
        <v>27</v>
      </c>
      <c r="S13" s="45" t="s">
        <v>28</v>
      </c>
      <c r="T13" s="17" t="s">
        <v>29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9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158" t="s">
        <v>30</v>
      </c>
      <c r="J14" s="159"/>
      <c r="K14" s="21" t="s">
        <v>0</v>
      </c>
      <c r="L14" s="19"/>
      <c r="M14" s="21"/>
      <c r="N14" s="21"/>
      <c r="O14" s="21" t="s">
        <v>31</v>
      </c>
      <c r="P14" s="21"/>
      <c r="Q14" s="46"/>
      <c r="R14" s="47"/>
      <c r="S14" s="22"/>
      <c r="T14" s="22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3"/>
      <c r="B15" s="36" t="s">
        <v>32</v>
      </c>
      <c r="C15" s="37" t="s">
        <v>32</v>
      </c>
      <c r="D15" s="37" t="s">
        <v>33</v>
      </c>
      <c r="E15" s="37" t="s">
        <v>34</v>
      </c>
      <c r="F15" s="37" t="s">
        <v>0</v>
      </c>
      <c r="G15" s="37"/>
      <c r="H15" s="37" t="s">
        <v>0</v>
      </c>
      <c r="I15" s="160"/>
      <c r="J15" s="161"/>
      <c r="K15" s="24" t="s">
        <v>35</v>
      </c>
      <c r="L15" s="20" t="s">
        <v>36</v>
      </c>
      <c r="M15" s="20" t="s">
        <v>37</v>
      </c>
      <c r="N15" s="20" t="s">
        <v>38</v>
      </c>
      <c r="O15" s="20" t="s">
        <v>39</v>
      </c>
      <c r="P15" s="19" t="s">
        <v>40</v>
      </c>
      <c r="Q15" s="34" t="s">
        <v>41</v>
      </c>
      <c r="R15" s="48" t="s">
        <v>42</v>
      </c>
      <c r="S15" s="22" t="s">
        <v>43</v>
      </c>
      <c r="T15" s="25" t="s">
        <v>44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6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57" t="s">
        <v>54</v>
      </c>
      <c r="K16" s="30" t="s">
        <v>55</v>
      </c>
      <c r="L16" s="71" t="s">
        <v>56</v>
      </c>
      <c r="M16" s="27" t="s">
        <v>57</v>
      </c>
      <c r="N16" s="27" t="s">
        <v>58</v>
      </c>
      <c r="O16" s="27" t="s">
        <v>59</v>
      </c>
      <c r="P16" s="29" t="s">
        <v>60</v>
      </c>
      <c r="Q16" s="43" t="s">
        <v>61</v>
      </c>
      <c r="R16" s="49" t="s">
        <v>61</v>
      </c>
      <c r="S16" s="30" t="s">
        <v>62</v>
      </c>
      <c r="T16" s="27" t="s">
        <v>63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123" t="s">
        <v>126</v>
      </c>
      <c r="C17" s="115" t="s">
        <v>157</v>
      </c>
      <c r="D17" s="69" t="s">
        <v>128</v>
      </c>
      <c r="E17" s="117" t="s">
        <v>129</v>
      </c>
      <c r="F17" s="157">
        <f>ROUND((41372*0.2),0)</f>
        <v>8274</v>
      </c>
      <c r="G17" s="157">
        <v>0</v>
      </c>
      <c r="H17" s="157">
        <v>0</v>
      </c>
      <c r="I17" s="128"/>
      <c r="J17" s="141">
        <v>0</v>
      </c>
      <c r="K17" s="156">
        <f>(+F17+G17+H17+J17)</f>
        <v>8274</v>
      </c>
      <c r="L17" s="145">
        <f>+ROUND((K17*0.3077),0)</f>
        <v>2546</v>
      </c>
      <c r="M17" s="144">
        <f>ROUND((495*0.2),0)</f>
        <v>99</v>
      </c>
      <c r="N17" s="141">
        <v>0</v>
      </c>
      <c r="O17" s="145">
        <f t="shared" ref="O17" si="0">ROUND((K17*0.0145),0)</f>
        <v>120</v>
      </c>
      <c r="P17" s="145">
        <f>ROUND((187*0.2),0)</f>
        <v>37</v>
      </c>
      <c r="Q17" s="146">
        <f>ROUND((6929*0.2),0)</f>
        <v>1386</v>
      </c>
      <c r="R17" s="146">
        <f>ROUND((298*0.2),0)</f>
        <v>60</v>
      </c>
      <c r="S17" s="145">
        <f>+L17+M17+N17+O17+P17+Q17+R17</f>
        <v>4248</v>
      </c>
      <c r="T17" s="145">
        <f t="shared" ref="T17" si="1">+K17+S17</f>
        <v>12522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2">A17+1</f>
        <v>2</v>
      </c>
      <c r="B18" s="66"/>
      <c r="C18" s="67"/>
      <c r="D18" s="69"/>
      <c r="E18" s="69"/>
      <c r="F18" s="7"/>
      <c r="G18" s="7"/>
      <c r="H18" s="64"/>
      <c r="I18" s="8"/>
      <c r="J18" s="32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2"/>
        <v>3</v>
      </c>
      <c r="B19" s="68"/>
      <c r="C19" s="67"/>
      <c r="D19" s="69"/>
      <c r="E19" s="69"/>
      <c r="F19" s="7"/>
      <c r="G19" s="7"/>
      <c r="H19" s="64"/>
      <c r="I19" s="8"/>
      <c r="J19" s="32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2"/>
        <v>4</v>
      </c>
      <c r="B20" s="68"/>
      <c r="C20" s="67"/>
      <c r="D20" s="69"/>
      <c r="E20" s="69"/>
      <c r="F20" s="7"/>
      <c r="G20" s="7"/>
      <c r="H20" s="64"/>
      <c r="I20" s="8"/>
      <c r="J20" s="32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2"/>
        <v>5</v>
      </c>
      <c r="B21" s="68"/>
      <c r="C21" s="67"/>
      <c r="D21" s="69"/>
      <c r="E21" s="69"/>
      <c r="F21" s="7"/>
      <c r="G21" s="7"/>
      <c r="H21" s="64"/>
      <c r="I21" s="85"/>
      <c r="J21" s="86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2"/>
        <v>6</v>
      </c>
      <c r="B22" s="68"/>
      <c r="C22" s="67"/>
      <c r="D22" s="69"/>
      <c r="E22" s="69"/>
      <c r="F22" s="7"/>
      <c r="G22" s="7"/>
      <c r="H22" s="64"/>
      <c r="I22" s="87"/>
      <c r="J22" s="88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3">
        <f t="shared" si="2"/>
        <v>7</v>
      </c>
      <c r="B23" s="76"/>
      <c r="C23" s="80"/>
      <c r="D23" s="69"/>
      <c r="E23" s="69"/>
      <c r="F23" s="74"/>
      <c r="G23" s="74"/>
      <c r="H23" s="64"/>
      <c r="I23" s="89"/>
      <c r="J23" s="90"/>
      <c r="K23" s="75"/>
      <c r="L23" s="15"/>
      <c r="M23" s="15"/>
      <c r="N23" s="75"/>
      <c r="O23" s="75"/>
      <c r="P23" s="15"/>
      <c r="Q23" s="15"/>
      <c r="R23" s="15"/>
      <c r="S23" s="75"/>
      <c r="T23" s="75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3">
        <f t="shared" si="2"/>
        <v>8</v>
      </c>
      <c r="B24" s="79"/>
      <c r="C24" s="82"/>
      <c r="D24" s="83"/>
      <c r="E24" s="69"/>
      <c r="F24" s="74"/>
      <c r="G24" s="74"/>
      <c r="H24" s="64"/>
      <c r="I24" s="89"/>
      <c r="J24" s="90"/>
      <c r="K24" s="75"/>
      <c r="L24" s="15"/>
      <c r="M24" s="15"/>
      <c r="N24" s="75"/>
      <c r="O24" s="75"/>
      <c r="P24" s="15"/>
      <c r="Q24" s="15"/>
      <c r="R24" s="15"/>
      <c r="S24" s="75"/>
      <c r="T24" s="75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3">
        <f t="shared" si="2"/>
        <v>9</v>
      </c>
      <c r="B25" s="76"/>
      <c r="C25" s="80"/>
      <c r="D25" s="81"/>
      <c r="E25" s="78"/>
      <c r="F25" s="74"/>
      <c r="G25" s="74"/>
      <c r="H25" s="64"/>
      <c r="I25" s="89"/>
      <c r="J25" s="90"/>
      <c r="K25" s="75"/>
      <c r="L25" s="15"/>
      <c r="M25" s="15"/>
      <c r="N25" s="75"/>
      <c r="O25" s="75"/>
      <c r="P25" s="15"/>
      <c r="Q25" s="15"/>
      <c r="R25" s="15"/>
      <c r="S25" s="75"/>
      <c r="T25" s="7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2"/>
        <v>10</v>
      </c>
      <c r="B26" s="68"/>
      <c r="C26" s="67"/>
      <c r="D26" s="69"/>
      <c r="E26" s="69"/>
      <c r="F26" s="7"/>
      <c r="G26" s="7"/>
      <c r="H26" s="64"/>
      <c r="I26" s="87"/>
      <c r="J26" s="88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2"/>
        <v>11</v>
      </c>
      <c r="B27" s="68"/>
      <c r="C27" s="67"/>
      <c r="D27" s="69"/>
      <c r="E27" s="69"/>
      <c r="F27" s="7"/>
      <c r="G27" s="7"/>
      <c r="H27" s="64"/>
      <c r="I27" s="87"/>
      <c r="J27" s="88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2"/>
        <v>12</v>
      </c>
      <c r="B28" s="68"/>
      <c r="C28" s="67"/>
      <c r="D28" s="69"/>
      <c r="E28" s="69"/>
      <c r="F28" s="7"/>
      <c r="G28" s="7"/>
      <c r="H28" s="64"/>
      <c r="I28" s="87"/>
      <c r="J28" s="88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2"/>
        <v>13</v>
      </c>
      <c r="B29" s="68"/>
      <c r="C29" s="67"/>
      <c r="D29" s="69"/>
      <c r="E29" s="69"/>
      <c r="F29" s="7"/>
      <c r="G29" s="7"/>
      <c r="H29" s="64"/>
      <c r="I29" s="87"/>
      <c r="J29" s="88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2"/>
        <v>14</v>
      </c>
      <c r="B30" s="68"/>
      <c r="C30" s="84"/>
      <c r="D30" s="78"/>
      <c r="E30" s="77"/>
      <c r="F30" s="7"/>
      <c r="G30" s="74"/>
      <c r="H30" s="64"/>
      <c r="I30" s="89"/>
      <c r="J30" s="90"/>
      <c r="K30" s="75"/>
      <c r="L30" s="15"/>
      <c r="M30" s="91"/>
      <c r="N30" s="75"/>
      <c r="O30" s="75"/>
      <c r="P30" s="75"/>
      <c r="Q30" s="92"/>
      <c r="R30" s="92"/>
      <c r="S30" s="75"/>
      <c r="T30" s="7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2"/>
        <v>15</v>
      </c>
      <c r="B31" s="6"/>
      <c r="C31" s="51"/>
      <c r="D31" s="51"/>
      <c r="E31" s="51"/>
      <c r="F31" s="7"/>
      <c r="G31" s="7"/>
      <c r="H31" s="64"/>
      <c r="I31" s="87"/>
      <c r="J31" s="88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2"/>
        <v>16</v>
      </c>
      <c r="B32" s="6"/>
      <c r="C32" s="51"/>
      <c r="D32" s="51"/>
      <c r="E32" s="51"/>
      <c r="F32" s="7"/>
      <c r="G32" s="7"/>
      <c r="H32" s="64"/>
      <c r="I32" s="8"/>
      <c r="J32" s="32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2"/>
        <v>17</v>
      </c>
      <c r="B33" s="6"/>
      <c r="C33" s="51"/>
      <c r="D33" s="51"/>
      <c r="E33" s="51"/>
      <c r="F33" s="7"/>
      <c r="G33" s="7"/>
      <c r="H33" s="64"/>
      <c r="I33" s="8"/>
      <c r="J33" s="32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2"/>
        <v>18</v>
      </c>
      <c r="B34" s="6"/>
      <c r="C34" s="51"/>
      <c r="D34" s="51"/>
      <c r="E34" s="51"/>
      <c r="F34" s="7"/>
      <c r="G34" s="7"/>
      <c r="H34" s="64"/>
      <c r="I34" s="8"/>
      <c r="J34" s="32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1"/>
      <c r="D35" s="51"/>
      <c r="E35" s="51"/>
      <c r="F35" s="7"/>
      <c r="G35" s="74"/>
      <c r="H35" s="64"/>
      <c r="I35" s="8"/>
      <c r="J35" s="32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1"/>
      <c r="D36" s="51"/>
      <c r="E36" s="51"/>
      <c r="F36" s="7"/>
      <c r="G36" s="7"/>
      <c r="H36" s="64"/>
      <c r="I36" s="8"/>
      <c r="J36" s="32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1"/>
      <c r="D37" s="51"/>
      <c r="E37" s="51"/>
      <c r="F37" s="7"/>
      <c r="G37" s="7"/>
      <c r="H37" s="64"/>
      <c r="I37" s="8"/>
      <c r="J37" s="32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"/>
      <c r="G38" s="7"/>
      <c r="H38" s="64"/>
      <c r="I38" s="8"/>
      <c r="J38" s="32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"/>
      <c r="G39" s="7"/>
      <c r="H39" s="64"/>
      <c r="I39" s="8"/>
      <c r="J39" s="32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"/>
      <c r="G40" s="74"/>
      <c r="H40" s="64"/>
      <c r="I40" s="8"/>
      <c r="J40" s="32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"/>
      <c r="G41" s="7"/>
      <c r="H41" s="64"/>
      <c r="I41" s="8"/>
      <c r="J41" s="32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73</v>
      </c>
      <c r="E42" s="13" t="s">
        <v>74</v>
      </c>
      <c r="F42" s="10">
        <f>SUM(F17:F41)</f>
        <v>8274</v>
      </c>
      <c r="G42" s="10">
        <f t="shared" ref="G42:H42" si="3">SUM(G17:G41)</f>
        <v>0</v>
      </c>
      <c r="H42" s="10">
        <f t="shared" si="3"/>
        <v>0</v>
      </c>
      <c r="I42" s="12" t="s">
        <v>74</v>
      </c>
      <c r="J42" s="10">
        <f>SUM(J17:J41)</f>
        <v>0</v>
      </c>
      <c r="K42" s="10">
        <f>SUM(K17:K41)</f>
        <v>8274</v>
      </c>
      <c r="L42" s="10">
        <f t="shared" ref="L42:S42" si="4">SUM(L17:L41)</f>
        <v>2546</v>
      </c>
      <c r="M42" s="10">
        <f t="shared" si="4"/>
        <v>99</v>
      </c>
      <c r="N42" s="10">
        <f t="shared" si="4"/>
        <v>0</v>
      </c>
      <c r="O42" s="10">
        <f t="shared" si="4"/>
        <v>120</v>
      </c>
      <c r="P42" s="10">
        <f t="shared" si="4"/>
        <v>37</v>
      </c>
      <c r="Q42" s="10">
        <f t="shared" si="4"/>
        <v>1386</v>
      </c>
      <c r="R42" s="10">
        <f t="shared" si="4"/>
        <v>60</v>
      </c>
      <c r="S42" s="10">
        <f t="shared" si="4"/>
        <v>4248</v>
      </c>
      <c r="T42" s="10">
        <f>SUM(T17:T41)</f>
        <v>12522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75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76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0" t="s">
        <v>77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0" t="s">
        <v>78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0" t="s">
        <v>79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3" t="s">
        <v>10</v>
      </c>
      <c r="C49" s="94"/>
      <c r="D49" s="94"/>
      <c r="E49" s="94"/>
      <c r="F49" s="94"/>
      <c r="G49" s="94"/>
      <c r="H49" s="94"/>
      <c r="I49" s="94"/>
      <c r="J49" s="95"/>
      <c r="K49" s="96"/>
      <c r="L49" s="97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8" t="s">
        <v>80</v>
      </c>
      <c r="C50" s="99"/>
      <c r="D50" s="99"/>
      <c r="E50" s="99"/>
      <c r="F50" s="99"/>
      <c r="G50" s="99"/>
      <c r="H50" s="99"/>
      <c r="I50" s="99"/>
      <c r="J50" s="99"/>
      <c r="K50" s="99"/>
      <c r="L50" s="100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1" t="s">
        <v>11</v>
      </c>
      <c r="C51" s="4" t="s">
        <v>12</v>
      </c>
      <c r="D51" s="4" t="s">
        <v>13</v>
      </c>
      <c r="E51" s="4" t="s">
        <v>14</v>
      </c>
      <c r="F51" s="4" t="s">
        <v>15</v>
      </c>
      <c r="G51" s="4" t="s">
        <v>16</v>
      </c>
      <c r="H51" s="4" t="s">
        <v>17</v>
      </c>
      <c r="I51" s="4" t="s">
        <v>18</v>
      </c>
      <c r="J51" s="4" t="s">
        <v>19</v>
      </c>
      <c r="K51" s="4" t="s">
        <v>20</v>
      </c>
      <c r="L51" s="102" t="s">
        <v>21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1"/>
      <c r="C52" s="44"/>
      <c r="D52" s="4"/>
      <c r="E52" s="44"/>
      <c r="F52" s="11" t="s">
        <v>81</v>
      </c>
      <c r="G52" s="62" t="s">
        <v>82</v>
      </c>
      <c r="H52" s="61" t="s">
        <v>83</v>
      </c>
      <c r="I52" s="61" t="s">
        <v>60</v>
      </c>
      <c r="J52" s="61" t="s">
        <v>84</v>
      </c>
      <c r="K52" s="61" t="s">
        <v>85</v>
      </c>
      <c r="L52" s="103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9"/>
      <c r="B53" s="104" t="s">
        <v>0</v>
      </c>
      <c r="C53" s="53"/>
      <c r="D53" s="35" t="s">
        <v>0</v>
      </c>
      <c r="E53" s="35" t="s">
        <v>86</v>
      </c>
      <c r="F53" s="59" t="s">
        <v>87</v>
      </c>
      <c r="G53" s="37"/>
      <c r="H53" s="37" t="s">
        <v>0</v>
      </c>
      <c r="I53" s="60" t="s">
        <v>88</v>
      </c>
      <c r="J53" s="37" t="s">
        <v>89</v>
      </c>
      <c r="K53" s="37" t="s">
        <v>90</v>
      </c>
      <c r="L53" s="105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3"/>
      <c r="B54" s="106" t="s">
        <v>32</v>
      </c>
      <c r="C54" s="37" t="s">
        <v>32</v>
      </c>
      <c r="D54" s="37" t="s">
        <v>33</v>
      </c>
      <c r="E54" s="37" t="s">
        <v>91</v>
      </c>
      <c r="F54" s="37" t="s">
        <v>91</v>
      </c>
      <c r="G54" s="37" t="s">
        <v>92</v>
      </c>
      <c r="H54" s="37" t="s">
        <v>92</v>
      </c>
      <c r="I54" s="37" t="s">
        <v>91</v>
      </c>
      <c r="J54" s="37" t="s">
        <v>91</v>
      </c>
      <c r="K54" s="37" t="s">
        <v>91</v>
      </c>
      <c r="L54" s="107" t="s">
        <v>93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6" t="s">
        <v>45</v>
      </c>
      <c r="B55" s="108" t="s">
        <v>46</v>
      </c>
      <c r="C55" s="109" t="s">
        <v>94</v>
      </c>
      <c r="D55" s="109" t="s">
        <v>48</v>
      </c>
      <c r="E55" s="109"/>
      <c r="F55" s="110" t="s">
        <v>95</v>
      </c>
      <c r="G55" s="110" t="s">
        <v>95</v>
      </c>
      <c r="H55" s="110" t="s">
        <v>96</v>
      </c>
      <c r="I55" s="110" t="s">
        <v>97</v>
      </c>
      <c r="J55" s="110" t="s">
        <v>97</v>
      </c>
      <c r="K55" s="110" t="s">
        <v>98</v>
      </c>
      <c r="L55" s="111" t="s">
        <v>55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0" t="str">
        <f t="shared" ref="B56:D56" si="5">+B17</f>
        <v>DSC-24-043</v>
      </c>
      <c r="C56" s="50" t="str">
        <f t="shared" si="5"/>
        <v>Management Analyst ($41,372 @ 20%) LTA</v>
      </c>
      <c r="D56" s="50" t="str">
        <f t="shared" si="5"/>
        <v>Cabanero, Ryan (6/15/24)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63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6">A56+1</f>
        <v>2</v>
      </c>
      <c r="B57" s="50"/>
      <c r="C57" s="50"/>
      <c r="D57" s="50"/>
      <c r="E57" s="7"/>
      <c r="F57" s="7"/>
      <c r="G57" s="7"/>
      <c r="H57" s="7"/>
      <c r="I57" s="7"/>
      <c r="J57" s="32"/>
      <c r="K57" s="32"/>
      <c r="L57" s="15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6"/>
        <v>3</v>
      </c>
      <c r="B58" s="50"/>
      <c r="C58" s="50"/>
      <c r="D58" s="50"/>
      <c r="E58" s="7"/>
      <c r="F58" s="7"/>
      <c r="G58" s="7"/>
      <c r="H58" s="7"/>
      <c r="I58" s="7"/>
      <c r="J58" s="32"/>
      <c r="K58" s="32"/>
      <c r="L58" s="15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6"/>
        <v>4</v>
      </c>
      <c r="B59" s="50"/>
      <c r="C59" s="50"/>
      <c r="D59" s="50"/>
      <c r="E59" s="7"/>
      <c r="F59" s="7"/>
      <c r="G59" s="7"/>
      <c r="H59" s="7"/>
      <c r="I59" s="7"/>
      <c r="J59" s="32"/>
      <c r="K59" s="32"/>
      <c r="L59" s="15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6"/>
        <v>5</v>
      </c>
      <c r="B60" s="50"/>
      <c r="C60" s="50"/>
      <c r="D60" s="50"/>
      <c r="E60" s="7"/>
      <c r="F60" s="7"/>
      <c r="G60" s="7"/>
      <c r="H60" s="7"/>
      <c r="I60" s="7"/>
      <c r="J60" s="32"/>
      <c r="K60" s="32"/>
      <c r="L60" s="15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6"/>
        <v>6</v>
      </c>
      <c r="B61" s="50"/>
      <c r="C61" s="50"/>
      <c r="D61" s="50"/>
      <c r="E61" s="7"/>
      <c r="F61" s="7"/>
      <c r="G61" s="7"/>
      <c r="H61" s="7"/>
      <c r="I61" s="7"/>
      <c r="J61" s="32"/>
      <c r="K61" s="32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6"/>
        <v>7</v>
      </c>
      <c r="B62" s="50"/>
      <c r="C62" s="50"/>
      <c r="D62" s="50"/>
      <c r="E62" s="7"/>
      <c r="F62" s="7"/>
      <c r="G62" s="7"/>
      <c r="H62" s="7"/>
      <c r="I62" s="7"/>
      <c r="J62" s="32"/>
      <c r="K62" s="32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6"/>
        <v>8</v>
      </c>
      <c r="B63" s="50"/>
      <c r="C63" s="50"/>
      <c r="D63" s="50"/>
      <c r="E63" s="7"/>
      <c r="F63" s="7"/>
      <c r="G63" s="7"/>
      <c r="H63" s="7"/>
      <c r="I63" s="7"/>
      <c r="J63" s="32"/>
      <c r="K63" s="32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6"/>
        <v>9</v>
      </c>
      <c r="B64" s="50"/>
      <c r="C64" s="50"/>
      <c r="D64" s="50"/>
      <c r="E64" s="7"/>
      <c r="F64" s="7"/>
      <c r="G64" s="7"/>
      <c r="H64" s="7"/>
      <c r="I64" s="7"/>
      <c r="J64" s="32"/>
      <c r="K64" s="32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6"/>
        <v>10</v>
      </c>
      <c r="B65" s="50"/>
      <c r="C65" s="50"/>
      <c r="D65" s="50"/>
      <c r="E65" s="7"/>
      <c r="F65" s="7"/>
      <c r="G65" s="7"/>
      <c r="H65" s="7"/>
      <c r="I65" s="7"/>
      <c r="J65" s="32"/>
      <c r="K65" s="32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6"/>
        <v>11</v>
      </c>
      <c r="B66" s="50"/>
      <c r="C66" s="50"/>
      <c r="D66" s="50"/>
      <c r="E66" s="7"/>
      <c r="F66" s="7"/>
      <c r="G66" s="7"/>
      <c r="H66" s="7"/>
      <c r="I66" s="7"/>
      <c r="J66" s="32"/>
      <c r="K66" s="32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6"/>
        <v>12</v>
      </c>
      <c r="B67" s="50"/>
      <c r="C67" s="50"/>
      <c r="D67" s="50"/>
      <c r="E67" s="7"/>
      <c r="F67" s="7"/>
      <c r="G67" s="7"/>
      <c r="H67" s="7"/>
      <c r="I67" s="7"/>
      <c r="J67" s="32"/>
      <c r="K67" s="32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6"/>
        <v>13</v>
      </c>
      <c r="B68" s="50"/>
      <c r="C68" s="50"/>
      <c r="D68" s="50"/>
      <c r="E68" s="7"/>
      <c r="F68" s="7"/>
      <c r="G68" s="7"/>
      <c r="H68" s="7"/>
      <c r="I68" s="7"/>
      <c r="J68" s="32"/>
      <c r="K68" s="32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6"/>
        <v>14</v>
      </c>
      <c r="B69" s="50"/>
      <c r="C69" s="50"/>
      <c r="D69" s="50"/>
      <c r="E69" s="7"/>
      <c r="F69" s="7"/>
      <c r="G69" s="7"/>
      <c r="H69" s="7"/>
      <c r="I69" s="7"/>
      <c r="J69" s="32"/>
      <c r="K69" s="32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6"/>
        <v>15</v>
      </c>
      <c r="B70" s="50"/>
      <c r="C70" s="50"/>
      <c r="D70" s="50"/>
      <c r="E70" s="7"/>
      <c r="F70" s="7"/>
      <c r="G70" s="7"/>
      <c r="H70" s="7"/>
      <c r="I70" s="7"/>
      <c r="J70" s="32"/>
      <c r="K70" s="32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6"/>
        <v>16</v>
      </c>
      <c r="B71" s="50"/>
      <c r="C71" s="50"/>
      <c r="D71" s="50"/>
      <c r="E71" s="7"/>
      <c r="F71" s="7"/>
      <c r="G71" s="7"/>
      <c r="H71" s="7"/>
      <c r="I71" s="7"/>
      <c r="J71" s="32"/>
      <c r="K71" s="32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6"/>
        <v>17</v>
      </c>
      <c r="B72" s="50"/>
      <c r="C72" s="50"/>
      <c r="D72" s="50"/>
      <c r="E72" s="7"/>
      <c r="F72" s="7"/>
      <c r="G72" s="7"/>
      <c r="H72" s="7"/>
      <c r="I72" s="7"/>
      <c r="J72" s="32"/>
      <c r="K72" s="32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6"/>
        <v>18</v>
      </c>
      <c r="B73" s="50"/>
      <c r="C73" s="50"/>
      <c r="D73" s="50"/>
      <c r="E73" s="7"/>
      <c r="F73" s="7"/>
      <c r="G73" s="7"/>
      <c r="H73" s="7"/>
      <c r="I73" s="7"/>
      <c r="J73" s="32"/>
      <c r="K73" s="32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0"/>
      <c r="C74" s="50"/>
      <c r="D74" s="50"/>
      <c r="E74" s="7"/>
      <c r="F74" s="7"/>
      <c r="G74" s="7"/>
      <c r="H74" s="7"/>
      <c r="I74" s="7"/>
      <c r="J74" s="32"/>
      <c r="K74" s="32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0"/>
      <c r="C75" s="50"/>
      <c r="D75" s="50"/>
      <c r="E75" s="7"/>
      <c r="F75" s="7"/>
      <c r="G75" s="7"/>
      <c r="H75" s="7"/>
      <c r="I75" s="7"/>
      <c r="J75" s="32"/>
      <c r="K75" s="32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0"/>
      <c r="C76" s="50"/>
      <c r="D76" s="50"/>
      <c r="E76" s="7"/>
      <c r="F76" s="7"/>
      <c r="G76" s="7"/>
      <c r="H76" s="7"/>
      <c r="I76" s="7"/>
      <c r="J76" s="32"/>
      <c r="K76" s="32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0"/>
      <c r="C77" s="50"/>
      <c r="D77" s="50"/>
      <c r="E77" s="7"/>
      <c r="F77" s="7"/>
      <c r="G77" s="7"/>
      <c r="H77" s="7"/>
      <c r="I77" s="7"/>
      <c r="J77" s="32"/>
      <c r="K77" s="32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0"/>
      <c r="C78" s="50"/>
      <c r="D78" s="50"/>
      <c r="E78" s="7"/>
      <c r="F78" s="7"/>
      <c r="G78" s="7"/>
      <c r="H78" s="7"/>
      <c r="I78" s="7"/>
      <c r="J78" s="32"/>
      <c r="K78" s="32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0"/>
      <c r="C79" s="50"/>
      <c r="D79" s="50"/>
      <c r="E79" s="7"/>
      <c r="F79" s="7"/>
      <c r="G79" s="7"/>
      <c r="H79" s="7"/>
      <c r="I79" s="7"/>
      <c r="J79" s="32"/>
      <c r="K79" s="32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0"/>
      <c r="C80" s="50"/>
      <c r="D80" s="50"/>
      <c r="E80" s="7"/>
      <c r="F80" s="7"/>
      <c r="G80" s="7"/>
      <c r="H80" s="7"/>
      <c r="I80" s="7"/>
      <c r="J80" s="32"/>
      <c r="K80" s="32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73</v>
      </c>
      <c r="E81" s="10">
        <f t="shared" ref="E81:L81" si="7">SUM(E56:E80)</f>
        <v>0</v>
      </c>
      <c r="F81" s="10">
        <f t="shared" si="7"/>
        <v>0</v>
      </c>
      <c r="G81" s="10">
        <f t="shared" si="7"/>
        <v>0</v>
      </c>
      <c r="H81" s="10">
        <f t="shared" si="7"/>
        <v>0</v>
      </c>
      <c r="I81" s="10">
        <f t="shared" si="7"/>
        <v>0</v>
      </c>
      <c r="J81" s="10">
        <f t="shared" si="7"/>
        <v>0</v>
      </c>
      <c r="K81" s="10">
        <f t="shared" si="7"/>
        <v>0</v>
      </c>
      <c r="L81" s="10">
        <f t="shared" si="7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81</v>
      </c>
      <c r="B82" s="3" t="s">
        <v>99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82</v>
      </c>
      <c r="B83" s="3" t="s">
        <v>100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83</v>
      </c>
      <c r="B84" s="3" t="s">
        <v>101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60</v>
      </c>
      <c r="B85" s="3" t="s">
        <v>102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84</v>
      </c>
      <c r="B86" s="3" t="s">
        <v>103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85</v>
      </c>
      <c r="B87" s="3" t="s">
        <v>104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74" fitToHeight="0" orientation="landscape" r:id="rId1"/>
  <headerFooter>
    <oddHeader>&amp;C&amp;"Times New Roman,Bold"Government of Guam
Fiscal Year 2025, Quarter 3
Agency Staffing Pattern</oddHeader>
  </headerFooter>
  <rowBreaks count="1" manualBreakCount="1">
    <brk id="4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82299-F040-4D76-8196-BA98928451B7}">
  <sheetPr>
    <tabColor theme="6" tint="0.79998168889431442"/>
    <pageSetUpPr fitToPage="1"/>
  </sheetPr>
  <dimension ref="A1:BV88"/>
  <sheetViews>
    <sheetView tabSelected="1" view="pageBreakPreview" zoomScaleNormal="145" zoomScaleSheetLayoutView="100" zoomScalePageLayoutView="50" workbookViewId="0">
      <selection activeCell="D2" sqref="D2"/>
    </sheetView>
  </sheetViews>
  <sheetFormatPr defaultColWidth="8.77734375" defaultRowHeight="11.25"/>
  <cols>
    <col min="1" max="1" width="3.5546875" style="9" customWidth="1"/>
    <col min="2" max="2" width="7.77734375" style="9" customWidth="1"/>
    <col min="3" max="3" width="24.109375" style="9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162" t="s">
        <v>1</v>
      </c>
      <c r="B2" s="162"/>
      <c r="C2" s="162"/>
      <c r="D2" s="112" t="s">
        <v>160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5"/>
      <c r="B3" s="65"/>
      <c r="C3" s="65"/>
      <c r="D3" s="11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162" t="s">
        <v>2</v>
      </c>
      <c r="B4" s="162"/>
      <c r="C4" s="162"/>
      <c r="D4" s="112" t="s">
        <v>3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5"/>
      <c r="B5" s="65"/>
      <c r="C5" s="65"/>
      <c r="D5" s="112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162" t="s">
        <v>4</v>
      </c>
      <c r="B6" s="162"/>
      <c r="C6" s="65"/>
      <c r="D6" s="112" t="s">
        <v>158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5"/>
      <c r="B7" s="65"/>
      <c r="C7" s="65"/>
      <c r="D7" s="112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162" t="s">
        <v>6</v>
      </c>
      <c r="B8" s="162"/>
      <c r="D8" s="112" t="s">
        <v>151</v>
      </c>
      <c r="E8" s="112" t="s">
        <v>159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16" t="s">
        <v>153</v>
      </c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10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10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11</v>
      </c>
      <c r="C13" s="44" t="s">
        <v>12</v>
      </c>
      <c r="D13" s="4" t="s">
        <v>13</v>
      </c>
      <c r="E13" s="44" t="s">
        <v>14</v>
      </c>
      <c r="F13" s="4" t="s">
        <v>15</v>
      </c>
      <c r="G13" s="31" t="s">
        <v>16</v>
      </c>
      <c r="H13" s="31" t="s">
        <v>17</v>
      </c>
      <c r="I13" s="31" t="s">
        <v>18</v>
      </c>
      <c r="J13" s="58" t="s">
        <v>19</v>
      </c>
      <c r="K13" s="44" t="s">
        <v>20</v>
      </c>
      <c r="L13" s="44" t="s">
        <v>21</v>
      </c>
      <c r="M13" s="4" t="s">
        <v>22</v>
      </c>
      <c r="N13" s="4" t="s">
        <v>23</v>
      </c>
      <c r="O13" s="4" t="s">
        <v>24</v>
      </c>
      <c r="P13" s="4" t="s">
        <v>25</v>
      </c>
      <c r="Q13" s="45" t="s">
        <v>26</v>
      </c>
      <c r="R13" s="58" t="s">
        <v>27</v>
      </c>
      <c r="S13" s="45" t="s">
        <v>28</v>
      </c>
      <c r="T13" s="17" t="s">
        <v>29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9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158" t="s">
        <v>30</v>
      </c>
      <c r="J14" s="159"/>
      <c r="K14" s="21" t="s">
        <v>0</v>
      </c>
      <c r="L14" s="19"/>
      <c r="M14" s="21"/>
      <c r="N14" s="21"/>
      <c r="O14" s="21" t="s">
        <v>31</v>
      </c>
      <c r="P14" s="21"/>
      <c r="Q14" s="46"/>
      <c r="R14" s="47"/>
      <c r="S14" s="22"/>
      <c r="T14" s="22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3"/>
      <c r="B15" s="36" t="s">
        <v>32</v>
      </c>
      <c r="C15" s="37" t="s">
        <v>32</v>
      </c>
      <c r="D15" s="37" t="s">
        <v>33</v>
      </c>
      <c r="E15" s="37" t="s">
        <v>34</v>
      </c>
      <c r="F15" s="37" t="s">
        <v>0</v>
      </c>
      <c r="G15" s="37"/>
      <c r="H15" s="37" t="s">
        <v>0</v>
      </c>
      <c r="I15" s="160"/>
      <c r="J15" s="161"/>
      <c r="K15" s="24" t="s">
        <v>35</v>
      </c>
      <c r="L15" s="20" t="s">
        <v>36</v>
      </c>
      <c r="M15" s="20" t="s">
        <v>37</v>
      </c>
      <c r="N15" s="20" t="s">
        <v>38</v>
      </c>
      <c r="O15" s="20" t="s">
        <v>39</v>
      </c>
      <c r="P15" s="19" t="s">
        <v>40</v>
      </c>
      <c r="Q15" s="34" t="s">
        <v>41</v>
      </c>
      <c r="R15" s="48" t="s">
        <v>42</v>
      </c>
      <c r="S15" s="22" t="s">
        <v>43</v>
      </c>
      <c r="T15" s="25" t="s">
        <v>44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6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57" t="s">
        <v>54</v>
      </c>
      <c r="K16" s="30" t="s">
        <v>55</v>
      </c>
      <c r="L16" s="71" t="s">
        <v>56</v>
      </c>
      <c r="M16" s="27" t="s">
        <v>57</v>
      </c>
      <c r="N16" s="27" t="s">
        <v>58</v>
      </c>
      <c r="O16" s="27" t="s">
        <v>59</v>
      </c>
      <c r="P16" s="29" t="s">
        <v>60</v>
      </c>
      <c r="Q16" s="43" t="s">
        <v>61</v>
      </c>
      <c r="R16" s="49" t="s">
        <v>61</v>
      </c>
      <c r="S16" s="30" t="s">
        <v>62</v>
      </c>
      <c r="T16" s="27" t="s">
        <v>63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22.5" thickTop="1">
      <c r="A17" s="6">
        <v>1</v>
      </c>
      <c r="B17" s="68" t="s">
        <v>126</v>
      </c>
      <c r="C17" s="72" t="s">
        <v>157</v>
      </c>
      <c r="D17" s="69" t="s">
        <v>128</v>
      </c>
      <c r="E17" s="51" t="s">
        <v>129</v>
      </c>
      <c r="F17" s="144">
        <f>ROUND((41372*0.2),0)</f>
        <v>8274</v>
      </c>
      <c r="G17" s="144">
        <v>0</v>
      </c>
      <c r="H17" s="144">
        <v>0</v>
      </c>
      <c r="I17" s="131"/>
      <c r="J17" s="144">
        <v>0</v>
      </c>
      <c r="K17" s="144">
        <f>(+F17+G17+H17+J17)</f>
        <v>8274</v>
      </c>
      <c r="L17" s="145">
        <f>ROUND((+K17*0.3077),0)</f>
        <v>2546</v>
      </c>
      <c r="M17" s="144">
        <f>ROUND((495*0.2),0)</f>
        <v>99</v>
      </c>
      <c r="N17" s="145">
        <v>0</v>
      </c>
      <c r="O17" s="145">
        <f>ROUND((+K17*0.0145),0)</f>
        <v>120</v>
      </c>
      <c r="P17" s="145">
        <f>ROUND((187*0.2),0)</f>
        <v>37</v>
      </c>
      <c r="Q17" s="146">
        <f>ROUND((6929*0.2),0)</f>
        <v>1386</v>
      </c>
      <c r="R17" s="146">
        <f>ROUND((298*0.2),0)</f>
        <v>60</v>
      </c>
      <c r="S17" s="145">
        <f t="shared" ref="S17" si="0">+L17+M17+N17+O17+P17+Q17+R17</f>
        <v>4248</v>
      </c>
      <c r="T17" s="145">
        <f t="shared" ref="T17" si="1">+K17+S17</f>
        <v>12522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2">A17+1</f>
        <v>2</v>
      </c>
      <c r="B18" s="66"/>
      <c r="C18" s="67"/>
      <c r="D18" s="69"/>
      <c r="E18" s="69"/>
      <c r="F18" s="7"/>
      <c r="G18" s="7"/>
      <c r="H18" s="64"/>
      <c r="I18" s="8"/>
      <c r="J18" s="32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2"/>
        <v>3</v>
      </c>
      <c r="B19" s="68"/>
      <c r="C19" s="67"/>
      <c r="D19" s="69"/>
      <c r="E19" s="69"/>
      <c r="F19" s="7"/>
      <c r="G19" s="7"/>
      <c r="H19" s="64"/>
      <c r="I19" s="8"/>
      <c r="J19" s="32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2"/>
        <v>4</v>
      </c>
      <c r="B20" s="68"/>
      <c r="C20" s="67"/>
      <c r="D20" s="69"/>
      <c r="E20" s="69"/>
      <c r="F20" s="7"/>
      <c r="G20" s="7"/>
      <c r="H20" s="64"/>
      <c r="I20" s="8"/>
      <c r="J20" s="32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2"/>
        <v>5</v>
      </c>
      <c r="B21" s="68"/>
      <c r="C21" s="67"/>
      <c r="D21" s="69"/>
      <c r="E21" s="69"/>
      <c r="F21" s="7"/>
      <c r="G21" s="7"/>
      <c r="H21" s="64"/>
      <c r="I21" s="85"/>
      <c r="J21" s="86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2"/>
        <v>6</v>
      </c>
      <c r="B22" s="68"/>
      <c r="C22" s="67"/>
      <c r="D22" s="69"/>
      <c r="E22" s="69"/>
      <c r="F22" s="7"/>
      <c r="G22" s="7"/>
      <c r="H22" s="64"/>
      <c r="I22" s="87"/>
      <c r="J22" s="88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3">
        <f t="shared" si="2"/>
        <v>7</v>
      </c>
      <c r="B23" s="76"/>
      <c r="C23" s="80"/>
      <c r="D23" s="69"/>
      <c r="E23" s="69"/>
      <c r="F23" s="74"/>
      <c r="G23" s="74"/>
      <c r="H23" s="64"/>
      <c r="I23" s="89"/>
      <c r="J23" s="90"/>
      <c r="K23" s="75"/>
      <c r="L23" s="15"/>
      <c r="M23" s="15"/>
      <c r="N23" s="75"/>
      <c r="O23" s="75"/>
      <c r="P23" s="15"/>
      <c r="Q23" s="15"/>
      <c r="R23" s="15"/>
      <c r="S23" s="75"/>
      <c r="T23" s="75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3">
        <f t="shared" si="2"/>
        <v>8</v>
      </c>
      <c r="B24" s="79"/>
      <c r="C24" s="82"/>
      <c r="D24" s="83"/>
      <c r="E24" s="69"/>
      <c r="F24" s="74"/>
      <c r="G24" s="74"/>
      <c r="H24" s="64"/>
      <c r="I24" s="89"/>
      <c r="J24" s="90"/>
      <c r="K24" s="75"/>
      <c r="L24" s="15"/>
      <c r="M24" s="15"/>
      <c r="N24" s="75"/>
      <c r="O24" s="75"/>
      <c r="P24" s="15"/>
      <c r="Q24" s="15"/>
      <c r="R24" s="15"/>
      <c r="S24" s="75"/>
      <c r="T24" s="75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3">
        <f t="shared" si="2"/>
        <v>9</v>
      </c>
      <c r="B25" s="76"/>
      <c r="C25" s="80"/>
      <c r="D25" s="81"/>
      <c r="E25" s="78"/>
      <c r="F25" s="74"/>
      <c r="G25" s="74"/>
      <c r="H25" s="64"/>
      <c r="I25" s="89"/>
      <c r="J25" s="90"/>
      <c r="K25" s="75"/>
      <c r="L25" s="15"/>
      <c r="M25" s="15"/>
      <c r="N25" s="75"/>
      <c r="O25" s="75"/>
      <c r="P25" s="15"/>
      <c r="Q25" s="15"/>
      <c r="R25" s="15"/>
      <c r="S25" s="75"/>
      <c r="T25" s="7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2"/>
        <v>10</v>
      </c>
      <c r="B26" s="68"/>
      <c r="C26" s="67"/>
      <c r="D26" s="69"/>
      <c r="E26" s="69"/>
      <c r="F26" s="7"/>
      <c r="G26" s="7"/>
      <c r="H26" s="64"/>
      <c r="I26" s="87"/>
      <c r="J26" s="88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2"/>
        <v>11</v>
      </c>
      <c r="B27" s="68"/>
      <c r="C27" s="67"/>
      <c r="D27" s="69"/>
      <c r="E27" s="69"/>
      <c r="F27" s="7"/>
      <c r="G27" s="7"/>
      <c r="H27" s="64"/>
      <c r="I27" s="87"/>
      <c r="J27" s="88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2"/>
        <v>12</v>
      </c>
      <c r="B28" s="68"/>
      <c r="C28" s="67"/>
      <c r="D28" s="69"/>
      <c r="E28" s="69"/>
      <c r="F28" s="7"/>
      <c r="G28" s="7"/>
      <c r="H28" s="64"/>
      <c r="I28" s="87"/>
      <c r="J28" s="88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2"/>
        <v>13</v>
      </c>
      <c r="B29" s="68"/>
      <c r="C29" s="67"/>
      <c r="D29" s="69"/>
      <c r="E29" s="69"/>
      <c r="F29" s="7"/>
      <c r="G29" s="7"/>
      <c r="H29" s="64"/>
      <c r="I29" s="87"/>
      <c r="J29" s="88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2"/>
        <v>14</v>
      </c>
      <c r="B30" s="68"/>
      <c r="C30" s="84"/>
      <c r="D30" s="78"/>
      <c r="E30" s="77"/>
      <c r="F30" s="7"/>
      <c r="G30" s="74"/>
      <c r="H30" s="64"/>
      <c r="I30" s="89"/>
      <c r="J30" s="90"/>
      <c r="K30" s="75"/>
      <c r="L30" s="15"/>
      <c r="M30" s="91"/>
      <c r="N30" s="75"/>
      <c r="O30" s="75"/>
      <c r="P30" s="75"/>
      <c r="Q30" s="92"/>
      <c r="R30" s="92"/>
      <c r="S30" s="75"/>
      <c r="T30" s="7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2"/>
        <v>15</v>
      </c>
      <c r="B31" s="6"/>
      <c r="C31" s="51"/>
      <c r="D31" s="51"/>
      <c r="E31" s="51"/>
      <c r="F31" s="7"/>
      <c r="G31" s="7"/>
      <c r="H31" s="64"/>
      <c r="I31" s="87"/>
      <c r="J31" s="88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2"/>
        <v>16</v>
      </c>
      <c r="B32" s="6"/>
      <c r="C32" s="51"/>
      <c r="D32" s="51"/>
      <c r="E32" s="51"/>
      <c r="F32" s="7"/>
      <c r="G32" s="7"/>
      <c r="H32" s="64"/>
      <c r="I32" s="8"/>
      <c r="J32" s="32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2"/>
        <v>17</v>
      </c>
      <c r="B33" s="6"/>
      <c r="C33" s="51"/>
      <c r="D33" s="51"/>
      <c r="E33" s="51"/>
      <c r="F33" s="7"/>
      <c r="G33" s="7"/>
      <c r="H33" s="64"/>
      <c r="I33" s="8"/>
      <c r="J33" s="32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2"/>
        <v>18</v>
      </c>
      <c r="B34" s="6"/>
      <c r="C34" s="51"/>
      <c r="D34" s="51"/>
      <c r="E34" s="51"/>
      <c r="F34" s="7"/>
      <c r="G34" s="7"/>
      <c r="H34" s="64"/>
      <c r="I34" s="8"/>
      <c r="J34" s="32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1"/>
      <c r="D35" s="51"/>
      <c r="E35" s="51"/>
      <c r="F35" s="7"/>
      <c r="G35" s="74"/>
      <c r="H35" s="64"/>
      <c r="I35" s="8"/>
      <c r="J35" s="32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1"/>
      <c r="D36" s="51"/>
      <c r="E36" s="51"/>
      <c r="F36" s="7"/>
      <c r="G36" s="7"/>
      <c r="H36" s="64"/>
      <c r="I36" s="8"/>
      <c r="J36" s="32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1"/>
      <c r="D37" s="51"/>
      <c r="E37" s="51"/>
      <c r="F37" s="7"/>
      <c r="G37" s="7"/>
      <c r="H37" s="64"/>
      <c r="I37" s="8"/>
      <c r="J37" s="32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"/>
      <c r="G38" s="7"/>
      <c r="H38" s="64"/>
      <c r="I38" s="8"/>
      <c r="J38" s="32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"/>
      <c r="G39" s="7"/>
      <c r="H39" s="64"/>
      <c r="I39" s="8"/>
      <c r="J39" s="32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"/>
      <c r="G40" s="74"/>
      <c r="H40" s="64"/>
      <c r="I40" s="8"/>
      <c r="J40" s="32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"/>
      <c r="G41" s="7"/>
      <c r="H41" s="64"/>
      <c r="I41" s="8"/>
      <c r="J41" s="32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73</v>
      </c>
      <c r="E42" s="13" t="s">
        <v>74</v>
      </c>
      <c r="F42" s="10">
        <f>SUM(F17:F41)</f>
        <v>8274</v>
      </c>
      <c r="G42" s="10">
        <f t="shared" ref="G42:H42" si="3">SUM(G17:G41)</f>
        <v>0</v>
      </c>
      <c r="H42" s="10">
        <f t="shared" si="3"/>
        <v>0</v>
      </c>
      <c r="I42" s="12" t="s">
        <v>74</v>
      </c>
      <c r="J42" s="10">
        <f>SUM(J17:J41)</f>
        <v>0</v>
      </c>
      <c r="K42" s="10">
        <f>SUM(K17:K41)</f>
        <v>8274</v>
      </c>
      <c r="L42" s="10">
        <f t="shared" ref="L42:S42" si="4">SUM(L17:L41)</f>
        <v>2546</v>
      </c>
      <c r="M42" s="10">
        <f t="shared" si="4"/>
        <v>99</v>
      </c>
      <c r="N42" s="10">
        <f t="shared" si="4"/>
        <v>0</v>
      </c>
      <c r="O42" s="10">
        <f t="shared" si="4"/>
        <v>120</v>
      </c>
      <c r="P42" s="10">
        <f t="shared" si="4"/>
        <v>37</v>
      </c>
      <c r="Q42" s="10">
        <f t="shared" si="4"/>
        <v>1386</v>
      </c>
      <c r="R42" s="10">
        <f t="shared" si="4"/>
        <v>60</v>
      </c>
      <c r="S42" s="10">
        <f t="shared" si="4"/>
        <v>4248</v>
      </c>
      <c r="T42" s="10">
        <f>SUM(T17:T41)</f>
        <v>12522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75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76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0" t="s">
        <v>77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0" t="s">
        <v>78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0" t="s">
        <v>79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3" t="s">
        <v>10</v>
      </c>
      <c r="C49" s="94"/>
      <c r="D49" s="94"/>
      <c r="E49" s="94"/>
      <c r="F49" s="94"/>
      <c r="G49" s="94"/>
      <c r="H49" s="94"/>
      <c r="I49" s="94"/>
      <c r="J49" s="95"/>
      <c r="K49" s="96"/>
      <c r="L49" s="97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8" t="s">
        <v>80</v>
      </c>
      <c r="C50" s="99"/>
      <c r="D50" s="99"/>
      <c r="E50" s="99"/>
      <c r="F50" s="99"/>
      <c r="G50" s="99"/>
      <c r="H50" s="99"/>
      <c r="I50" s="99"/>
      <c r="J50" s="99"/>
      <c r="K50" s="99"/>
      <c r="L50" s="100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1" t="s">
        <v>11</v>
      </c>
      <c r="C51" s="4" t="s">
        <v>12</v>
      </c>
      <c r="D51" s="4" t="s">
        <v>13</v>
      </c>
      <c r="E51" s="4" t="s">
        <v>14</v>
      </c>
      <c r="F51" s="4" t="s">
        <v>15</v>
      </c>
      <c r="G51" s="4" t="s">
        <v>16</v>
      </c>
      <c r="H51" s="4" t="s">
        <v>17</v>
      </c>
      <c r="I51" s="4" t="s">
        <v>18</v>
      </c>
      <c r="J51" s="4" t="s">
        <v>19</v>
      </c>
      <c r="K51" s="4" t="s">
        <v>20</v>
      </c>
      <c r="L51" s="102" t="s">
        <v>21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1"/>
      <c r="C52" s="44"/>
      <c r="D52" s="4"/>
      <c r="E52" s="44"/>
      <c r="F52" s="11" t="s">
        <v>81</v>
      </c>
      <c r="G52" s="62" t="s">
        <v>82</v>
      </c>
      <c r="H52" s="61" t="s">
        <v>83</v>
      </c>
      <c r="I52" s="61" t="s">
        <v>60</v>
      </c>
      <c r="J52" s="61" t="s">
        <v>84</v>
      </c>
      <c r="K52" s="61" t="s">
        <v>85</v>
      </c>
      <c r="L52" s="103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9"/>
      <c r="B53" s="104" t="s">
        <v>0</v>
      </c>
      <c r="C53" s="53"/>
      <c r="D53" s="35" t="s">
        <v>0</v>
      </c>
      <c r="E53" s="35" t="s">
        <v>86</v>
      </c>
      <c r="F53" s="59" t="s">
        <v>87</v>
      </c>
      <c r="G53" s="37"/>
      <c r="H53" s="37" t="s">
        <v>0</v>
      </c>
      <c r="I53" s="60" t="s">
        <v>88</v>
      </c>
      <c r="J53" s="37" t="s">
        <v>89</v>
      </c>
      <c r="K53" s="37" t="s">
        <v>90</v>
      </c>
      <c r="L53" s="105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3"/>
      <c r="B54" s="106" t="s">
        <v>32</v>
      </c>
      <c r="C54" s="37" t="s">
        <v>32</v>
      </c>
      <c r="D54" s="37" t="s">
        <v>33</v>
      </c>
      <c r="E54" s="37" t="s">
        <v>91</v>
      </c>
      <c r="F54" s="37" t="s">
        <v>91</v>
      </c>
      <c r="G54" s="37" t="s">
        <v>92</v>
      </c>
      <c r="H54" s="37" t="s">
        <v>92</v>
      </c>
      <c r="I54" s="37" t="s">
        <v>91</v>
      </c>
      <c r="J54" s="37" t="s">
        <v>91</v>
      </c>
      <c r="K54" s="37" t="s">
        <v>91</v>
      </c>
      <c r="L54" s="107" t="s">
        <v>93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6" t="s">
        <v>45</v>
      </c>
      <c r="B55" s="108" t="s">
        <v>46</v>
      </c>
      <c r="C55" s="109" t="s">
        <v>94</v>
      </c>
      <c r="D55" s="109" t="s">
        <v>48</v>
      </c>
      <c r="E55" s="109"/>
      <c r="F55" s="110" t="s">
        <v>95</v>
      </c>
      <c r="G55" s="110" t="s">
        <v>95</v>
      </c>
      <c r="H55" s="110" t="s">
        <v>96</v>
      </c>
      <c r="I55" s="110" t="s">
        <v>97</v>
      </c>
      <c r="J55" s="110" t="s">
        <v>97</v>
      </c>
      <c r="K55" s="110" t="s">
        <v>98</v>
      </c>
      <c r="L55" s="111" t="s">
        <v>55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0" t="str">
        <f t="shared" ref="B56:D56" si="5">+B17</f>
        <v>DSC-24-043</v>
      </c>
      <c r="C56" s="50" t="str">
        <f t="shared" si="5"/>
        <v>Management Analyst ($41,372 @ 20%) LTA</v>
      </c>
      <c r="D56" s="50" t="str">
        <f t="shared" si="5"/>
        <v>Cabanero, Ryan (6/15/24)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63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6">A56+1</f>
        <v>2</v>
      </c>
      <c r="B57" s="50"/>
      <c r="C57" s="50"/>
      <c r="D57" s="50"/>
      <c r="E57" s="7"/>
      <c r="F57" s="7"/>
      <c r="G57" s="7"/>
      <c r="H57" s="7"/>
      <c r="I57" s="7"/>
      <c r="J57" s="32"/>
      <c r="K57" s="32"/>
      <c r="L57" s="15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6"/>
        <v>3</v>
      </c>
      <c r="B58" s="50"/>
      <c r="C58" s="50"/>
      <c r="D58" s="50"/>
      <c r="E58" s="7"/>
      <c r="F58" s="7"/>
      <c r="G58" s="7"/>
      <c r="H58" s="7"/>
      <c r="I58" s="7"/>
      <c r="J58" s="32"/>
      <c r="K58" s="32"/>
      <c r="L58" s="15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6"/>
        <v>4</v>
      </c>
      <c r="B59" s="50"/>
      <c r="C59" s="50"/>
      <c r="D59" s="50"/>
      <c r="E59" s="7"/>
      <c r="F59" s="7"/>
      <c r="G59" s="7"/>
      <c r="H59" s="7"/>
      <c r="I59" s="7"/>
      <c r="J59" s="32"/>
      <c r="K59" s="32"/>
      <c r="L59" s="15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6"/>
        <v>5</v>
      </c>
      <c r="B60" s="50"/>
      <c r="C60" s="50"/>
      <c r="D60" s="50"/>
      <c r="E60" s="7"/>
      <c r="F60" s="7"/>
      <c r="G60" s="7"/>
      <c r="H60" s="7"/>
      <c r="I60" s="7"/>
      <c r="J60" s="32"/>
      <c r="K60" s="32"/>
      <c r="L60" s="15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6"/>
        <v>6</v>
      </c>
      <c r="B61" s="50"/>
      <c r="C61" s="50"/>
      <c r="D61" s="50"/>
      <c r="E61" s="7"/>
      <c r="F61" s="7"/>
      <c r="G61" s="7"/>
      <c r="H61" s="7"/>
      <c r="I61" s="7"/>
      <c r="J61" s="32"/>
      <c r="K61" s="32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6"/>
        <v>7</v>
      </c>
      <c r="B62" s="50"/>
      <c r="C62" s="50"/>
      <c r="D62" s="50"/>
      <c r="E62" s="7"/>
      <c r="F62" s="7"/>
      <c r="G62" s="7"/>
      <c r="H62" s="7"/>
      <c r="I62" s="7"/>
      <c r="J62" s="32"/>
      <c r="K62" s="32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6"/>
        <v>8</v>
      </c>
      <c r="B63" s="50"/>
      <c r="C63" s="50"/>
      <c r="D63" s="50"/>
      <c r="E63" s="7"/>
      <c r="F63" s="7"/>
      <c r="G63" s="7"/>
      <c r="H63" s="7"/>
      <c r="I63" s="7"/>
      <c r="J63" s="32"/>
      <c r="K63" s="32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6"/>
        <v>9</v>
      </c>
      <c r="B64" s="50"/>
      <c r="C64" s="50"/>
      <c r="D64" s="50"/>
      <c r="E64" s="7"/>
      <c r="F64" s="7"/>
      <c r="G64" s="7"/>
      <c r="H64" s="7"/>
      <c r="I64" s="7"/>
      <c r="J64" s="32"/>
      <c r="K64" s="32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6"/>
        <v>10</v>
      </c>
      <c r="B65" s="50"/>
      <c r="C65" s="50"/>
      <c r="D65" s="50"/>
      <c r="E65" s="7"/>
      <c r="F65" s="7"/>
      <c r="G65" s="7"/>
      <c r="H65" s="7"/>
      <c r="I65" s="7"/>
      <c r="J65" s="32"/>
      <c r="K65" s="32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6"/>
        <v>11</v>
      </c>
      <c r="B66" s="50"/>
      <c r="C66" s="50"/>
      <c r="D66" s="50"/>
      <c r="E66" s="7"/>
      <c r="F66" s="7"/>
      <c r="G66" s="7"/>
      <c r="H66" s="7"/>
      <c r="I66" s="7"/>
      <c r="J66" s="32"/>
      <c r="K66" s="32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6"/>
        <v>12</v>
      </c>
      <c r="B67" s="50"/>
      <c r="C67" s="50"/>
      <c r="D67" s="50"/>
      <c r="E67" s="7"/>
      <c r="F67" s="7"/>
      <c r="G67" s="7"/>
      <c r="H67" s="7"/>
      <c r="I67" s="7"/>
      <c r="J67" s="32"/>
      <c r="K67" s="32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6"/>
        <v>13</v>
      </c>
      <c r="B68" s="50"/>
      <c r="C68" s="50"/>
      <c r="D68" s="50"/>
      <c r="E68" s="7"/>
      <c r="F68" s="7"/>
      <c r="G68" s="7"/>
      <c r="H68" s="7"/>
      <c r="I68" s="7"/>
      <c r="J68" s="32"/>
      <c r="K68" s="32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6"/>
        <v>14</v>
      </c>
      <c r="B69" s="50"/>
      <c r="C69" s="50"/>
      <c r="D69" s="50"/>
      <c r="E69" s="7"/>
      <c r="F69" s="7"/>
      <c r="G69" s="7"/>
      <c r="H69" s="7"/>
      <c r="I69" s="7"/>
      <c r="J69" s="32"/>
      <c r="K69" s="32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6"/>
        <v>15</v>
      </c>
      <c r="B70" s="50"/>
      <c r="C70" s="50"/>
      <c r="D70" s="50"/>
      <c r="E70" s="7"/>
      <c r="F70" s="7"/>
      <c r="G70" s="7"/>
      <c r="H70" s="7"/>
      <c r="I70" s="7"/>
      <c r="J70" s="32"/>
      <c r="K70" s="32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6"/>
        <v>16</v>
      </c>
      <c r="B71" s="50"/>
      <c r="C71" s="50"/>
      <c r="D71" s="50"/>
      <c r="E71" s="7"/>
      <c r="F71" s="7"/>
      <c r="G71" s="7"/>
      <c r="H71" s="7"/>
      <c r="I71" s="7"/>
      <c r="J71" s="32"/>
      <c r="K71" s="32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6"/>
        <v>17</v>
      </c>
      <c r="B72" s="50"/>
      <c r="C72" s="50"/>
      <c r="D72" s="50"/>
      <c r="E72" s="7"/>
      <c r="F72" s="7"/>
      <c r="G72" s="7"/>
      <c r="H72" s="7"/>
      <c r="I72" s="7"/>
      <c r="J72" s="32"/>
      <c r="K72" s="32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6"/>
        <v>18</v>
      </c>
      <c r="B73" s="50"/>
      <c r="C73" s="50"/>
      <c r="D73" s="50"/>
      <c r="E73" s="7"/>
      <c r="F73" s="7"/>
      <c r="G73" s="7"/>
      <c r="H73" s="7"/>
      <c r="I73" s="7"/>
      <c r="J73" s="32"/>
      <c r="K73" s="32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0"/>
      <c r="C74" s="50"/>
      <c r="D74" s="50"/>
      <c r="E74" s="7"/>
      <c r="F74" s="7"/>
      <c r="G74" s="7"/>
      <c r="H74" s="7"/>
      <c r="I74" s="7"/>
      <c r="J74" s="32"/>
      <c r="K74" s="32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0"/>
      <c r="C75" s="50"/>
      <c r="D75" s="50"/>
      <c r="E75" s="7"/>
      <c r="F75" s="7"/>
      <c r="G75" s="7"/>
      <c r="H75" s="7"/>
      <c r="I75" s="7"/>
      <c r="J75" s="32"/>
      <c r="K75" s="32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0"/>
      <c r="C76" s="50"/>
      <c r="D76" s="50"/>
      <c r="E76" s="7"/>
      <c r="F76" s="7"/>
      <c r="G76" s="7"/>
      <c r="H76" s="7"/>
      <c r="I76" s="7"/>
      <c r="J76" s="32"/>
      <c r="K76" s="32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0"/>
      <c r="C77" s="50"/>
      <c r="D77" s="50"/>
      <c r="E77" s="7"/>
      <c r="F77" s="7"/>
      <c r="G77" s="7"/>
      <c r="H77" s="7"/>
      <c r="I77" s="7"/>
      <c r="J77" s="32"/>
      <c r="K77" s="32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0"/>
      <c r="C78" s="50"/>
      <c r="D78" s="50"/>
      <c r="E78" s="7"/>
      <c r="F78" s="7"/>
      <c r="G78" s="7"/>
      <c r="H78" s="7"/>
      <c r="I78" s="7"/>
      <c r="J78" s="32"/>
      <c r="K78" s="32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0"/>
      <c r="C79" s="50"/>
      <c r="D79" s="50"/>
      <c r="E79" s="7"/>
      <c r="F79" s="7"/>
      <c r="G79" s="7"/>
      <c r="H79" s="7"/>
      <c r="I79" s="7"/>
      <c r="J79" s="32"/>
      <c r="K79" s="32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0"/>
      <c r="C80" s="50"/>
      <c r="D80" s="50"/>
      <c r="E80" s="7"/>
      <c r="F80" s="7"/>
      <c r="G80" s="7"/>
      <c r="H80" s="7"/>
      <c r="I80" s="7"/>
      <c r="J80" s="32"/>
      <c r="K80" s="32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73</v>
      </c>
      <c r="E81" s="10">
        <f t="shared" ref="E81:L81" si="7">SUM(E56:E80)</f>
        <v>0</v>
      </c>
      <c r="F81" s="10">
        <f t="shared" si="7"/>
        <v>0</v>
      </c>
      <c r="G81" s="10">
        <f t="shared" si="7"/>
        <v>0</v>
      </c>
      <c r="H81" s="10">
        <f t="shared" si="7"/>
        <v>0</v>
      </c>
      <c r="I81" s="10">
        <f t="shared" si="7"/>
        <v>0</v>
      </c>
      <c r="J81" s="10">
        <f t="shared" si="7"/>
        <v>0</v>
      </c>
      <c r="K81" s="10">
        <f t="shared" si="7"/>
        <v>0</v>
      </c>
      <c r="L81" s="10">
        <f t="shared" si="7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81</v>
      </c>
      <c r="B82" s="3" t="s">
        <v>99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82</v>
      </c>
      <c r="B83" s="3" t="s">
        <v>100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83</v>
      </c>
      <c r="B84" s="3" t="s">
        <v>101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60</v>
      </c>
      <c r="B85" s="3" t="s">
        <v>102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84</v>
      </c>
      <c r="B86" s="3" t="s">
        <v>103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85</v>
      </c>
      <c r="B87" s="3" t="s">
        <v>104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23622047244094491" right="0.23622047244094491" top="0.74803149606299213" bottom="0.74803149606299213" header="0.31496062992125984" footer="0.31496062992125984"/>
  <pageSetup paperSize="5" scale="75" fitToHeight="0" orientation="landscape" r:id="rId1"/>
  <headerFooter>
    <oddHeader>&amp;C&amp;"Times New Roman,Bold"Government of Guam
Fiscal Year 2025, Quarter 3
Agency Staffing Pattern</oddHead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(Current) - SOA MOE</vt:lpstr>
      <vt:lpstr>(Current) - SOA OM</vt:lpstr>
      <vt:lpstr>(Current) - SAA</vt:lpstr>
      <vt:lpstr>(Current) - BAPS</vt:lpstr>
      <vt:lpstr>(Current) - OMB</vt:lpstr>
      <vt:lpstr>SMP</vt:lpstr>
      <vt:lpstr>SHIP</vt:lpstr>
      <vt:lpstr>'(Current) - BAPS'!Print_Area</vt:lpstr>
      <vt:lpstr>'(Current) - OMB'!Print_Area</vt:lpstr>
      <vt:lpstr>'(Current) - SAA'!Print_Area</vt:lpstr>
      <vt:lpstr>'(Current) - SOA MOE'!Print_Area</vt:lpstr>
      <vt:lpstr>'(Current) - SOA OM'!Print_Area</vt:lpstr>
      <vt:lpstr>SHIP!Print_Area</vt:lpstr>
      <vt:lpstr>SMP!Print_Area</vt:lpstr>
    </vt:vector>
  </TitlesOfParts>
  <Manager/>
  <Company>Gov Guam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Gov Guam</dc:creator>
  <cp:keywords/>
  <dc:description/>
  <cp:lastModifiedBy>Caitlin Erin T. Champaco</cp:lastModifiedBy>
  <cp:revision/>
  <cp:lastPrinted>2025-07-30T01:15:18Z</cp:lastPrinted>
  <dcterms:created xsi:type="dcterms:W3CDTF">2000-07-08T01:37:33Z</dcterms:created>
  <dcterms:modified xsi:type="dcterms:W3CDTF">2025-07-30T01:15:20Z</dcterms:modified>
  <cp:category/>
  <cp:contentStatus/>
</cp:coreProperties>
</file>